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2435" tabRatio="868" firstSheet="1" activeTab="7"/>
  </bookViews>
  <sheets>
    <sheet name="IB-IM et VP" sheetId="1" state="hidden" r:id="rId1"/>
    <sheet name="MODE D'EMPLOI" sheetId="39" r:id="rId2"/>
    <sheet name="échelle 3 - C1" sheetId="2" r:id="rId3"/>
    <sheet name="échelle 4 - C2" sheetId="3" r:id="rId4"/>
    <sheet name="échelle 5 - C2" sheetId="4" r:id="rId5"/>
    <sheet name="échelle 6 - C3" sheetId="5" r:id="rId6"/>
    <sheet name="Cat B-3 grades et mon educ" sheetId="6" r:id="rId7"/>
    <sheet name="Cat B-2 grades" sheetId="7" r:id="rId8"/>
    <sheet name="Ass Soc Ed" sheetId="22" r:id="rId9"/>
    <sheet name="CESF-EJE-ETS" sheetId="23" r:id="rId10"/>
    <sheet name="ISGS-Ergo" sheetId="18" r:id="rId11"/>
    <sheet name="Cadre Socio-ed" sheetId="26" r:id="rId12"/>
    <sheet name="Attaché adm" sheetId="40" r:id="rId13"/>
    <sheet name="Sage Femme" sheetId="41" r:id="rId14"/>
  </sheets>
  <calcPr calcId="145621"/>
</workbook>
</file>

<file path=xl/calcChain.xml><?xml version="1.0" encoding="utf-8"?>
<calcChain xmlns="http://schemas.openxmlformats.org/spreadsheetml/2006/main">
  <c r="O9" i="41" l="1"/>
  <c r="K32" i="41"/>
  <c r="K31" i="41"/>
  <c r="K30" i="41"/>
  <c r="K29" i="41"/>
  <c r="K28" i="41"/>
  <c r="K27" i="41"/>
  <c r="K26" i="41"/>
  <c r="K25" i="41"/>
  <c r="K24" i="41"/>
  <c r="K19" i="41"/>
  <c r="K18" i="41"/>
  <c r="K17" i="41"/>
  <c r="K16" i="41"/>
  <c r="K15" i="41"/>
  <c r="K14" i="41"/>
  <c r="K13" i="41"/>
  <c r="K12" i="41"/>
  <c r="K11" i="41"/>
  <c r="K10" i="41"/>
  <c r="D32" i="41"/>
  <c r="D31" i="41"/>
  <c r="D30" i="41"/>
  <c r="D29" i="41"/>
  <c r="D28" i="41"/>
  <c r="D27" i="41"/>
  <c r="D26" i="41"/>
  <c r="D25" i="41"/>
  <c r="D24" i="41"/>
  <c r="D19" i="41"/>
  <c r="D18" i="41"/>
  <c r="D17" i="41"/>
  <c r="D16" i="41"/>
  <c r="D15" i="41"/>
  <c r="D14" i="41"/>
  <c r="D13" i="41"/>
  <c r="D12" i="41"/>
  <c r="D11" i="41"/>
  <c r="D10" i="41"/>
  <c r="K9" i="41"/>
  <c r="D9" i="41"/>
  <c r="O32" i="41"/>
  <c r="O31" i="41"/>
  <c r="O19" i="41"/>
  <c r="O18" i="41"/>
  <c r="O17" i="41"/>
  <c r="O16" i="41"/>
  <c r="O15" i="41"/>
  <c r="O14" i="41"/>
  <c r="O13" i="41"/>
  <c r="O12" i="41"/>
  <c r="C83" i="41"/>
  <c r="B83" i="41"/>
  <c r="C77" i="41"/>
  <c r="B77" i="41"/>
  <c r="C71" i="41"/>
  <c r="B71" i="41"/>
  <c r="C65" i="41"/>
  <c r="B65" i="41"/>
  <c r="C59" i="41"/>
  <c r="B59" i="41"/>
  <c r="C53" i="41"/>
  <c r="B53" i="41"/>
  <c r="C47" i="41"/>
  <c r="B47" i="41"/>
  <c r="O30" i="41"/>
  <c r="O29" i="41"/>
  <c r="O28" i="41"/>
  <c r="O27" i="41"/>
  <c r="O26" i="41"/>
  <c r="O25" i="41"/>
  <c r="O11" i="41"/>
  <c r="K36" i="40"/>
  <c r="K35" i="40"/>
  <c r="K34" i="40"/>
  <c r="K33" i="40"/>
  <c r="K32" i="40"/>
  <c r="K31" i="40"/>
  <c r="K30" i="40"/>
  <c r="K29" i="40"/>
  <c r="K28" i="40"/>
  <c r="K27" i="40"/>
  <c r="K20" i="40"/>
  <c r="K19" i="40"/>
  <c r="K18" i="40"/>
  <c r="K17" i="40"/>
  <c r="K16" i="40"/>
  <c r="K15" i="40"/>
  <c r="K14" i="40"/>
  <c r="K13" i="40"/>
  <c r="K12" i="40"/>
  <c r="K11" i="40"/>
  <c r="K10" i="40"/>
  <c r="D36" i="40"/>
  <c r="D35" i="40"/>
  <c r="D34" i="40"/>
  <c r="D33" i="40"/>
  <c r="D32" i="40"/>
  <c r="D31" i="40"/>
  <c r="D30" i="40"/>
  <c r="D29" i="40"/>
  <c r="D28" i="40"/>
  <c r="D27" i="40"/>
  <c r="D20" i="40"/>
  <c r="D19" i="40"/>
  <c r="D18" i="40"/>
  <c r="D17" i="40"/>
  <c r="D16" i="40"/>
  <c r="D15" i="40"/>
  <c r="D14" i="40"/>
  <c r="D13" i="40"/>
  <c r="D12" i="40"/>
  <c r="D11" i="40"/>
  <c r="D10" i="40"/>
  <c r="K9" i="40"/>
  <c r="D9" i="40"/>
  <c r="O14" i="40"/>
  <c r="O28" i="40"/>
  <c r="O36" i="40"/>
  <c r="O35" i="40"/>
  <c r="O34" i="40"/>
  <c r="O33" i="40"/>
  <c r="O32" i="40"/>
  <c r="O31" i="40"/>
  <c r="O30" i="40"/>
  <c r="O20" i="40"/>
  <c r="O13" i="40"/>
  <c r="O12" i="40"/>
  <c r="O11" i="40"/>
  <c r="O10" i="40"/>
  <c r="O9" i="40"/>
  <c r="E83" i="41" l="1"/>
  <c r="G83" i="41"/>
  <c r="K83" i="41" s="1"/>
  <c r="D83" i="41"/>
  <c r="E47" i="41"/>
  <c r="E53" i="41"/>
  <c r="E65" i="41"/>
  <c r="E59" i="41"/>
  <c r="E71" i="41"/>
  <c r="E77" i="41"/>
  <c r="C86" i="40"/>
  <c r="B86" i="40"/>
  <c r="C80" i="40"/>
  <c r="B80" i="40"/>
  <c r="C74" i="40"/>
  <c r="B74" i="40"/>
  <c r="C68" i="40"/>
  <c r="B68" i="40"/>
  <c r="C62" i="40"/>
  <c r="B62" i="40"/>
  <c r="C56" i="40"/>
  <c r="B56" i="40"/>
  <c r="C50" i="40"/>
  <c r="B50" i="40"/>
  <c r="O29" i="40"/>
  <c r="O27" i="40"/>
  <c r="F10" i="39"/>
  <c r="L17" i="39"/>
  <c r="D17" i="39"/>
  <c r="L16" i="39"/>
  <c r="D16" i="39"/>
  <c r="P20" i="2"/>
  <c r="P19" i="2"/>
  <c r="P18" i="2"/>
  <c r="P17" i="2"/>
  <c r="P16" i="2"/>
  <c r="P15" i="2"/>
  <c r="P14" i="2"/>
  <c r="P13" i="2"/>
  <c r="P12" i="2"/>
  <c r="P17" i="39" s="1"/>
  <c r="P11" i="2"/>
  <c r="P16" i="39" s="1"/>
  <c r="P10" i="2"/>
  <c r="P51" i="18"/>
  <c r="P35" i="18"/>
  <c r="P19" i="18"/>
  <c r="P30" i="26"/>
  <c r="P29" i="26"/>
  <c r="P28" i="26"/>
  <c r="P27" i="26"/>
  <c r="P26" i="26"/>
  <c r="P25" i="26"/>
  <c r="P24" i="26"/>
  <c r="P69" i="18"/>
  <c r="P68" i="18"/>
  <c r="P67" i="18"/>
  <c r="P66" i="18"/>
  <c r="P65" i="18"/>
  <c r="P64" i="18"/>
  <c r="P63" i="18"/>
  <c r="P56" i="18"/>
  <c r="P55" i="18"/>
  <c r="P54" i="18"/>
  <c r="P53" i="18"/>
  <c r="P50" i="18"/>
  <c r="P49" i="18"/>
  <c r="P48" i="18"/>
  <c r="P47" i="18"/>
  <c r="P46" i="18"/>
  <c r="P40" i="18"/>
  <c r="P39" i="18"/>
  <c r="P38" i="18"/>
  <c r="P37" i="18"/>
  <c r="P34" i="18"/>
  <c r="P33" i="18"/>
  <c r="P32" i="18"/>
  <c r="P31" i="18"/>
  <c r="P30" i="18"/>
  <c r="P24" i="18"/>
  <c r="P23" i="18"/>
  <c r="P22" i="18"/>
  <c r="P21" i="18"/>
  <c r="P18" i="18"/>
  <c r="P17" i="18"/>
  <c r="P16" i="18"/>
  <c r="P15" i="18"/>
  <c r="P14" i="18"/>
  <c r="D112" i="18"/>
  <c r="C112" i="18"/>
  <c r="D106" i="18"/>
  <c r="C106" i="18"/>
  <c r="D100" i="18"/>
  <c r="C100" i="18"/>
  <c r="D94" i="18"/>
  <c r="C94" i="18"/>
  <c r="D88" i="18"/>
  <c r="C88" i="18"/>
  <c r="D82" i="18"/>
  <c r="C82" i="18"/>
  <c r="D76" i="18"/>
  <c r="C76" i="18"/>
  <c r="P43" i="23"/>
  <c r="P42" i="23"/>
  <c r="P41" i="23"/>
  <c r="P40" i="23"/>
  <c r="P39" i="23"/>
  <c r="P38" i="23"/>
  <c r="P37" i="23"/>
  <c r="P36" i="23"/>
  <c r="P35" i="23"/>
  <c r="P34" i="23"/>
  <c r="P33" i="23"/>
  <c r="P25" i="23"/>
  <c r="P24" i="23"/>
  <c r="P23" i="23"/>
  <c r="P22" i="23"/>
  <c r="P21" i="23"/>
  <c r="P20" i="23"/>
  <c r="P19" i="23"/>
  <c r="P18" i="23"/>
  <c r="P17" i="23"/>
  <c r="P16" i="23"/>
  <c r="P15" i="23"/>
  <c r="P13" i="23"/>
  <c r="C87" i="23"/>
  <c r="B87" i="23"/>
  <c r="C81" i="23"/>
  <c r="B81" i="23"/>
  <c r="C75" i="23"/>
  <c r="B75" i="23"/>
  <c r="C69" i="23"/>
  <c r="B69" i="23"/>
  <c r="C63" i="23"/>
  <c r="B63" i="23"/>
  <c r="C57" i="23"/>
  <c r="B57" i="23"/>
  <c r="C51" i="23"/>
  <c r="B51" i="23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1" i="22"/>
  <c r="O20" i="22"/>
  <c r="O19" i="22"/>
  <c r="O18" i="22"/>
  <c r="O17" i="22"/>
  <c r="O16" i="22"/>
  <c r="O15" i="22"/>
  <c r="O14" i="22"/>
  <c r="O13" i="22"/>
  <c r="O12" i="22"/>
  <c r="O11" i="22"/>
  <c r="O9" i="22"/>
  <c r="C86" i="22"/>
  <c r="B86" i="22"/>
  <c r="C80" i="22"/>
  <c r="B80" i="22"/>
  <c r="C74" i="22"/>
  <c r="B74" i="22"/>
  <c r="C68" i="22"/>
  <c r="B68" i="22"/>
  <c r="C62" i="22"/>
  <c r="B62" i="22"/>
  <c r="C56" i="22"/>
  <c r="B56" i="22"/>
  <c r="C50" i="22"/>
  <c r="B50" i="22"/>
  <c r="Q38" i="7"/>
  <c r="Q37" i="7"/>
  <c r="Q36" i="7"/>
  <c r="Q35" i="7"/>
  <c r="Q34" i="7"/>
  <c r="Q32" i="7"/>
  <c r="Q26" i="7"/>
  <c r="Q25" i="7"/>
  <c r="Q24" i="7"/>
  <c r="Q23" i="7"/>
  <c r="Q22" i="7"/>
  <c r="Q21" i="7"/>
  <c r="Q20" i="7"/>
  <c r="Q19" i="7"/>
  <c r="Q18" i="7"/>
  <c r="C85" i="7"/>
  <c r="B85" i="7"/>
  <c r="C79" i="7"/>
  <c r="B79" i="7"/>
  <c r="C73" i="7"/>
  <c r="B73" i="7"/>
  <c r="C67" i="7"/>
  <c r="B67" i="7"/>
  <c r="C61" i="7"/>
  <c r="B61" i="7"/>
  <c r="C55" i="7"/>
  <c r="B55" i="7"/>
  <c r="C49" i="7"/>
  <c r="B49" i="7"/>
  <c r="P65" i="6"/>
  <c r="P64" i="6"/>
  <c r="P63" i="6"/>
  <c r="P62" i="6"/>
  <c r="P61" i="6"/>
  <c r="P60" i="6"/>
  <c r="P59" i="6"/>
  <c r="P58" i="6"/>
  <c r="P57" i="6"/>
  <c r="P56" i="6"/>
  <c r="P54" i="6"/>
  <c r="P47" i="6"/>
  <c r="P46" i="6"/>
  <c r="P71" i="41" l="1"/>
  <c r="G71" i="41"/>
  <c r="K71" i="41" s="1"/>
  <c r="D71" i="41"/>
  <c r="G65" i="41"/>
  <c r="K65" i="41" s="1"/>
  <c r="D65" i="41"/>
  <c r="H83" i="41"/>
  <c r="P77" i="41"/>
  <c r="G77" i="41"/>
  <c r="K77" i="41" s="1"/>
  <c r="D77" i="41"/>
  <c r="P59" i="41"/>
  <c r="G59" i="41"/>
  <c r="K59" i="41" s="1"/>
  <c r="D59" i="41"/>
  <c r="AD53" i="41"/>
  <c r="AH53" i="41" s="1"/>
  <c r="R53" i="41"/>
  <c r="V53" i="41" s="1"/>
  <c r="G53" i="41"/>
  <c r="K53" i="41" s="1"/>
  <c r="D53" i="41"/>
  <c r="X53" i="41"/>
  <c r="AB53" i="41" s="1"/>
  <c r="P53" i="41"/>
  <c r="AD47" i="41"/>
  <c r="AH47" i="41" s="1"/>
  <c r="R47" i="41"/>
  <c r="V47" i="41" s="1"/>
  <c r="G47" i="41"/>
  <c r="K47" i="41" s="1"/>
  <c r="D47" i="41"/>
  <c r="R59" i="41"/>
  <c r="V59" i="41" s="1"/>
  <c r="AJ47" i="41"/>
  <c r="AN47" i="41" s="1"/>
  <c r="X47" i="41"/>
  <c r="AB47" i="41" s="1"/>
  <c r="P47" i="41"/>
  <c r="E86" i="40"/>
  <c r="G86" i="40" s="1"/>
  <c r="K86" i="40" s="1"/>
  <c r="E50" i="40"/>
  <c r="E56" i="40"/>
  <c r="E68" i="40"/>
  <c r="E62" i="40"/>
  <c r="E74" i="40"/>
  <c r="E80" i="40"/>
  <c r="F100" i="18"/>
  <c r="H100" i="18" s="1"/>
  <c r="L100" i="18" s="1"/>
  <c r="F106" i="18"/>
  <c r="N106" i="18" s="1"/>
  <c r="R106" i="18" s="1"/>
  <c r="E86" i="22"/>
  <c r="G86" i="22" s="1"/>
  <c r="K86" i="22" s="1"/>
  <c r="F112" i="18"/>
  <c r="H112" i="18" s="1"/>
  <c r="L112" i="18" s="1"/>
  <c r="E100" i="18"/>
  <c r="E112" i="18"/>
  <c r="F76" i="18"/>
  <c r="F82" i="18"/>
  <c r="F94" i="18"/>
  <c r="F88" i="18"/>
  <c r="E87" i="23"/>
  <c r="G87" i="23" s="1"/>
  <c r="K87" i="23" s="1"/>
  <c r="E51" i="23"/>
  <c r="E57" i="23"/>
  <c r="E69" i="23"/>
  <c r="E63" i="23"/>
  <c r="E75" i="23"/>
  <c r="E81" i="23"/>
  <c r="E50" i="22"/>
  <c r="E56" i="22"/>
  <c r="E68" i="22"/>
  <c r="E62" i="22"/>
  <c r="E74" i="22"/>
  <c r="E80" i="22"/>
  <c r="E85" i="7"/>
  <c r="G85" i="7" s="1"/>
  <c r="K85" i="7" s="1"/>
  <c r="E49" i="7"/>
  <c r="E55" i="7"/>
  <c r="E67" i="7"/>
  <c r="E61" i="7"/>
  <c r="E73" i="7"/>
  <c r="E79" i="7"/>
  <c r="P42" i="6"/>
  <c r="P40" i="6"/>
  <c r="P39" i="6"/>
  <c r="P38" i="6"/>
  <c r="P37" i="6"/>
  <c r="P36" i="6"/>
  <c r="P35" i="6"/>
  <c r="P34" i="6"/>
  <c r="P28" i="6"/>
  <c r="P27" i="6"/>
  <c r="P24" i="6"/>
  <c r="P23" i="6"/>
  <c r="P21" i="6"/>
  <c r="P20" i="6"/>
  <c r="P19" i="6"/>
  <c r="P18" i="6"/>
  <c r="P17" i="6"/>
  <c r="P16" i="6"/>
  <c r="P15" i="6"/>
  <c r="C110" i="6"/>
  <c r="C104" i="6"/>
  <c r="C98" i="6"/>
  <c r="C92" i="6"/>
  <c r="C86" i="6"/>
  <c r="C80" i="6"/>
  <c r="C74" i="6"/>
  <c r="B110" i="6"/>
  <c r="B104" i="6"/>
  <c r="B98" i="6"/>
  <c r="B92" i="6"/>
  <c r="B86" i="6"/>
  <c r="B80" i="6"/>
  <c r="B74" i="6"/>
  <c r="P23" i="5"/>
  <c r="P20" i="5"/>
  <c r="P17" i="5"/>
  <c r="P16" i="5"/>
  <c r="P15" i="5"/>
  <c r="P14" i="5"/>
  <c r="C73" i="5"/>
  <c r="B73" i="5"/>
  <c r="C67" i="5"/>
  <c r="B67" i="5"/>
  <c r="C61" i="5"/>
  <c r="B61" i="5"/>
  <c r="C55" i="5"/>
  <c r="B55" i="5"/>
  <c r="C49" i="5"/>
  <c r="B49" i="5"/>
  <c r="C43" i="5"/>
  <c r="B43" i="5"/>
  <c r="C37" i="5"/>
  <c r="B37" i="5"/>
  <c r="P24" i="4"/>
  <c r="P19" i="4"/>
  <c r="P18" i="4"/>
  <c r="P17" i="4"/>
  <c r="P16" i="4"/>
  <c r="O10" i="41" l="1"/>
  <c r="O24" i="41"/>
  <c r="H77" i="41"/>
  <c r="I77" i="41" s="1"/>
  <c r="J77" i="41" s="1"/>
  <c r="H65" i="41"/>
  <c r="I65" i="41" s="1"/>
  <c r="J65" i="41" s="1"/>
  <c r="H71" i="41"/>
  <c r="M71" i="41"/>
  <c r="N71" i="41" s="1"/>
  <c r="S59" i="41"/>
  <c r="T59" i="41" s="1"/>
  <c r="U59" i="41" s="1"/>
  <c r="Y47" i="41"/>
  <c r="Z47" i="41" s="1"/>
  <c r="M47" i="41"/>
  <c r="S47" i="41"/>
  <c r="T47" i="41" s="1"/>
  <c r="U47" i="41" s="1"/>
  <c r="N47" i="41"/>
  <c r="H47" i="41"/>
  <c r="I47" i="41" s="1"/>
  <c r="Y53" i="41"/>
  <c r="M53" i="41"/>
  <c r="N53" i="41" s="1"/>
  <c r="O53" i="41" s="1"/>
  <c r="S53" i="41"/>
  <c r="T53" i="41" s="1"/>
  <c r="U53" i="41" s="1"/>
  <c r="H53" i="41"/>
  <c r="I53" i="41" s="1"/>
  <c r="H59" i="41"/>
  <c r="I59" i="41" s="1"/>
  <c r="J59" i="41" s="1"/>
  <c r="M59" i="41"/>
  <c r="N59" i="41" s="1"/>
  <c r="O59" i="41" s="1"/>
  <c r="I83" i="41"/>
  <c r="J83" i="41" s="1"/>
  <c r="G50" i="40"/>
  <c r="K50" i="40" s="1"/>
  <c r="M50" i="40"/>
  <c r="Q50" i="40" s="1"/>
  <c r="O19" i="40" s="1"/>
  <c r="D86" i="40"/>
  <c r="M74" i="40"/>
  <c r="Q74" i="40" s="1"/>
  <c r="G74" i="40"/>
  <c r="K74" i="40" s="1"/>
  <c r="D74" i="40"/>
  <c r="G68" i="40"/>
  <c r="K68" i="40" s="1"/>
  <c r="D68" i="40"/>
  <c r="H86" i="40"/>
  <c r="M80" i="40"/>
  <c r="Q80" i="40" s="1"/>
  <c r="G80" i="40"/>
  <c r="K80" i="40" s="1"/>
  <c r="D80" i="40"/>
  <c r="M62" i="40"/>
  <c r="Q62" i="40" s="1"/>
  <c r="G62" i="40"/>
  <c r="K62" i="40" s="1"/>
  <c r="D62" i="40"/>
  <c r="AE56" i="40"/>
  <c r="AI56" i="40" s="1"/>
  <c r="S56" i="40"/>
  <c r="W56" i="40" s="1"/>
  <c r="G56" i="40"/>
  <c r="K56" i="40" s="1"/>
  <c r="D56" i="40"/>
  <c r="Y56" i="40"/>
  <c r="AC56" i="40" s="1"/>
  <c r="M56" i="40"/>
  <c r="Q56" i="40" s="1"/>
  <c r="AE50" i="40"/>
  <c r="AI50" i="40" s="1"/>
  <c r="S50" i="40"/>
  <c r="W50" i="40" s="1"/>
  <c r="D50" i="40"/>
  <c r="S62" i="40"/>
  <c r="W62" i="40" s="1"/>
  <c r="AK50" i="40"/>
  <c r="AO50" i="40" s="1"/>
  <c r="Y50" i="40"/>
  <c r="AC50" i="40" s="1"/>
  <c r="D86" i="22"/>
  <c r="H86" i="22" s="1"/>
  <c r="E106" i="18"/>
  <c r="I106" i="18" s="1"/>
  <c r="N100" i="18"/>
  <c r="R100" i="18" s="1"/>
  <c r="H106" i="18"/>
  <c r="L106" i="18" s="1"/>
  <c r="E73" i="5"/>
  <c r="D73" i="5" s="1"/>
  <c r="H94" i="18"/>
  <c r="L94" i="18" s="1"/>
  <c r="E94" i="18"/>
  <c r="I112" i="18"/>
  <c r="I100" i="18"/>
  <c r="O100" i="18"/>
  <c r="P100" i="18" s="1"/>
  <c r="N88" i="18"/>
  <c r="R88" i="18" s="1"/>
  <c r="H88" i="18"/>
  <c r="L88" i="18" s="1"/>
  <c r="E88" i="18"/>
  <c r="AF82" i="18"/>
  <c r="AJ82" i="18" s="1"/>
  <c r="T82" i="18"/>
  <c r="X82" i="18" s="1"/>
  <c r="H82" i="18"/>
  <c r="L82" i="18" s="1"/>
  <c r="E82" i="18"/>
  <c r="Z82" i="18"/>
  <c r="AD82" i="18" s="1"/>
  <c r="N82" i="18"/>
  <c r="R82" i="18" s="1"/>
  <c r="AF76" i="18"/>
  <c r="AJ76" i="18" s="1"/>
  <c r="T76" i="18"/>
  <c r="X76" i="18" s="1"/>
  <c r="H76" i="18"/>
  <c r="L76" i="18" s="1"/>
  <c r="E76" i="18"/>
  <c r="T88" i="18"/>
  <c r="X88" i="18" s="1"/>
  <c r="AL76" i="18"/>
  <c r="AP76" i="18" s="1"/>
  <c r="Z76" i="18"/>
  <c r="AD76" i="18" s="1"/>
  <c r="N76" i="18"/>
  <c r="R76" i="18" s="1"/>
  <c r="D87" i="23"/>
  <c r="M75" i="23"/>
  <c r="Q75" i="23" s="1"/>
  <c r="G75" i="23"/>
  <c r="K75" i="23" s="1"/>
  <c r="D75" i="23"/>
  <c r="G69" i="23"/>
  <c r="K69" i="23" s="1"/>
  <c r="D69" i="23"/>
  <c r="H87" i="23"/>
  <c r="M81" i="23"/>
  <c r="Q81" i="23" s="1"/>
  <c r="G81" i="23"/>
  <c r="K81" i="23" s="1"/>
  <c r="D81" i="23"/>
  <c r="M63" i="23"/>
  <c r="Q63" i="23" s="1"/>
  <c r="G63" i="23"/>
  <c r="K63" i="23" s="1"/>
  <c r="D63" i="23"/>
  <c r="AE57" i="23"/>
  <c r="AI57" i="23" s="1"/>
  <c r="S57" i="23"/>
  <c r="W57" i="23" s="1"/>
  <c r="G57" i="23"/>
  <c r="K57" i="23" s="1"/>
  <c r="D57" i="23"/>
  <c r="Y57" i="23"/>
  <c r="AC57" i="23" s="1"/>
  <c r="M57" i="23"/>
  <c r="Q57" i="23" s="1"/>
  <c r="AE51" i="23"/>
  <c r="AI51" i="23" s="1"/>
  <c r="S51" i="23"/>
  <c r="W51" i="23" s="1"/>
  <c r="G51" i="23"/>
  <c r="K51" i="23" s="1"/>
  <c r="P14" i="23" s="1"/>
  <c r="D51" i="23"/>
  <c r="S63" i="23"/>
  <c r="W63" i="23" s="1"/>
  <c r="AK51" i="23"/>
  <c r="AO51" i="23" s="1"/>
  <c r="Y51" i="23"/>
  <c r="AC51" i="23" s="1"/>
  <c r="M51" i="23"/>
  <c r="Q51" i="23" s="1"/>
  <c r="M74" i="22"/>
  <c r="Q74" i="22" s="1"/>
  <c r="G74" i="22"/>
  <c r="K74" i="22" s="1"/>
  <c r="D74" i="22"/>
  <c r="G68" i="22"/>
  <c r="K68" i="22" s="1"/>
  <c r="D68" i="22"/>
  <c r="M80" i="22"/>
  <c r="Q80" i="22" s="1"/>
  <c r="G80" i="22"/>
  <c r="K80" i="22" s="1"/>
  <c r="D80" i="22"/>
  <c r="M62" i="22"/>
  <c r="Q62" i="22" s="1"/>
  <c r="G62" i="22"/>
  <c r="K62" i="22" s="1"/>
  <c r="D62" i="22"/>
  <c r="AE56" i="22"/>
  <c r="AI56" i="22" s="1"/>
  <c r="S56" i="22"/>
  <c r="W56" i="22" s="1"/>
  <c r="G56" i="22"/>
  <c r="K56" i="22" s="1"/>
  <c r="D56" i="22"/>
  <c r="Y56" i="22"/>
  <c r="AC56" i="22" s="1"/>
  <c r="M56" i="22"/>
  <c r="Q56" i="22" s="1"/>
  <c r="AE50" i="22"/>
  <c r="AI50" i="22" s="1"/>
  <c r="S50" i="22"/>
  <c r="W50" i="22" s="1"/>
  <c r="G50" i="22"/>
  <c r="K50" i="22" s="1"/>
  <c r="O10" i="22" s="1"/>
  <c r="D50" i="22"/>
  <c r="S62" i="22"/>
  <c r="W62" i="22" s="1"/>
  <c r="AK50" i="22"/>
  <c r="AO50" i="22" s="1"/>
  <c r="Y50" i="22"/>
  <c r="AC50" i="22" s="1"/>
  <c r="M50" i="22"/>
  <c r="Q50" i="22" s="1"/>
  <c r="D85" i="7"/>
  <c r="H85" i="7" s="1"/>
  <c r="M73" i="7"/>
  <c r="Q73" i="7" s="1"/>
  <c r="G73" i="7"/>
  <c r="K73" i="7" s="1"/>
  <c r="D73" i="7"/>
  <c r="G67" i="7"/>
  <c r="K67" i="7" s="1"/>
  <c r="D67" i="7"/>
  <c r="M79" i="7"/>
  <c r="Q79" i="7" s="1"/>
  <c r="G79" i="7"/>
  <c r="K79" i="7" s="1"/>
  <c r="D79" i="7"/>
  <c r="M61" i="7"/>
  <c r="Q61" i="7" s="1"/>
  <c r="G61" i="7"/>
  <c r="K61" i="7" s="1"/>
  <c r="D61" i="7"/>
  <c r="AE55" i="7"/>
  <c r="AI55" i="7" s="1"/>
  <c r="S55" i="7"/>
  <c r="W55" i="7" s="1"/>
  <c r="G55" i="7"/>
  <c r="K55" i="7" s="1"/>
  <c r="D55" i="7"/>
  <c r="Y55" i="7"/>
  <c r="AC55" i="7" s="1"/>
  <c r="M55" i="7"/>
  <c r="Q55" i="7" s="1"/>
  <c r="AE49" i="7"/>
  <c r="AI49" i="7" s="1"/>
  <c r="S49" i="7"/>
  <c r="W49" i="7" s="1"/>
  <c r="Q33" i="7" s="1"/>
  <c r="G49" i="7"/>
  <c r="K49" i="7" s="1"/>
  <c r="D49" i="7"/>
  <c r="S61" i="7"/>
  <c r="W61" i="7" s="1"/>
  <c r="AK49" i="7"/>
  <c r="AO49" i="7" s="1"/>
  <c r="Y49" i="7"/>
  <c r="AC49" i="7" s="1"/>
  <c r="M49" i="7"/>
  <c r="Q49" i="7" s="1"/>
  <c r="E110" i="6"/>
  <c r="G110" i="6" s="1"/>
  <c r="K110" i="6" s="1"/>
  <c r="E80" i="6"/>
  <c r="E92" i="6"/>
  <c r="E74" i="6"/>
  <c r="AK74" i="6" s="1"/>
  <c r="AO74" i="6" s="1"/>
  <c r="P43" i="6" s="1"/>
  <c r="E86" i="6"/>
  <c r="E98" i="6"/>
  <c r="E104" i="6"/>
  <c r="G73" i="5"/>
  <c r="K73" i="5" s="1"/>
  <c r="E43" i="5"/>
  <c r="E55" i="5"/>
  <c r="E37" i="5"/>
  <c r="E49" i="5"/>
  <c r="E61" i="5"/>
  <c r="E67" i="5"/>
  <c r="AA47" i="41" l="1"/>
  <c r="O47" i="41"/>
  <c r="AK47" i="41" s="1"/>
  <c r="M77" i="41"/>
  <c r="N77" i="41" s="1"/>
  <c r="O77" i="41" s="1"/>
  <c r="J53" i="41"/>
  <c r="Z53" i="41"/>
  <c r="AA53" i="41" s="1"/>
  <c r="J47" i="41"/>
  <c r="I71" i="41"/>
  <c r="J71" i="41" s="1"/>
  <c r="O71" i="41"/>
  <c r="O17" i="40"/>
  <c r="O15" i="40"/>
  <c r="O18" i="40"/>
  <c r="O16" i="40"/>
  <c r="H80" i="40"/>
  <c r="H68" i="40"/>
  <c r="H74" i="40"/>
  <c r="I74" i="40" s="1"/>
  <c r="J74" i="40" s="1"/>
  <c r="N74" i="40"/>
  <c r="O74" i="40" s="1"/>
  <c r="P74" i="40" s="1"/>
  <c r="T62" i="40"/>
  <c r="U62" i="40" s="1"/>
  <c r="Z50" i="40"/>
  <c r="AA50" i="40" s="1"/>
  <c r="N50" i="40"/>
  <c r="O50" i="40" s="1"/>
  <c r="P50" i="40" s="1"/>
  <c r="T50" i="40"/>
  <c r="U50" i="40" s="1"/>
  <c r="H50" i="40"/>
  <c r="I50" i="40" s="1"/>
  <c r="J50" i="40" s="1"/>
  <c r="Z56" i="40"/>
  <c r="AA56" i="40" s="1"/>
  <c r="AB56" i="40" s="1"/>
  <c r="N56" i="40"/>
  <c r="T56" i="40"/>
  <c r="H56" i="40"/>
  <c r="I56" i="40" s="1"/>
  <c r="J56" i="40" s="1"/>
  <c r="H62" i="40"/>
  <c r="N62" i="40"/>
  <c r="I86" i="40"/>
  <c r="J86" i="40" s="1"/>
  <c r="P20" i="18"/>
  <c r="P36" i="18"/>
  <c r="S61" i="5"/>
  <c r="W61" i="5" s="1"/>
  <c r="P19" i="5" s="1"/>
  <c r="G61" i="5"/>
  <c r="K61" i="5" s="1"/>
  <c r="P52" i="18"/>
  <c r="J106" i="18"/>
  <c r="K106" i="18" s="1"/>
  <c r="J100" i="18"/>
  <c r="K100" i="18" s="1"/>
  <c r="Q100" i="18"/>
  <c r="J112" i="18"/>
  <c r="K112" i="18" s="1"/>
  <c r="U88" i="18"/>
  <c r="V88" i="18" s="1"/>
  <c r="W88" i="18" s="1"/>
  <c r="AA76" i="18"/>
  <c r="AB76" i="18" s="1"/>
  <c r="O76" i="18"/>
  <c r="P76" i="18" s="1"/>
  <c r="U76" i="18"/>
  <c r="V76" i="18" s="1"/>
  <c r="I76" i="18"/>
  <c r="J76" i="18" s="1"/>
  <c r="AA82" i="18"/>
  <c r="O82" i="18"/>
  <c r="P82" i="18" s="1"/>
  <c r="Q82" i="18" s="1"/>
  <c r="U82" i="18"/>
  <c r="V82" i="18" s="1"/>
  <c r="W82" i="18" s="1"/>
  <c r="I82" i="18"/>
  <c r="J82" i="18" s="1"/>
  <c r="I88" i="18"/>
  <c r="J88" i="18" s="1"/>
  <c r="K88" i="18" s="1"/>
  <c r="O88" i="18"/>
  <c r="P88" i="18" s="1"/>
  <c r="Q88" i="18" s="1"/>
  <c r="I94" i="18"/>
  <c r="J94" i="18" s="1"/>
  <c r="K94" i="18" s="1"/>
  <c r="H81" i="23"/>
  <c r="H69" i="23"/>
  <c r="H75" i="23"/>
  <c r="I75" i="23" s="1"/>
  <c r="J75" i="23" s="1"/>
  <c r="N75" i="23"/>
  <c r="O75" i="23" s="1"/>
  <c r="P75" i="23" s="1"/>
  <c r="T63" i="23"/>
  <c r="U63" i="23" s="1"/>
  <c r="Z51" i="23"/>
  <c r="AA51" i="23" s="1"/>
  <c r="N51" i="23"/>
  <c r="O51" i="23" s="1"/>
  <c r="P51" i="23" s="1"/>
  <c r="T51" i="23"/>
  <c r="U51" i="23" s="1"/>
  <c r="H51" i="23"/>
  <c r="I51" i="23" s="1"/>
  <c r="J51" i="23" s="1"/>
  <c r="Z57" i="23"/>
  <c r="AA57" i="23" s="1"/>
  <c r="AB57" i="23" s="1"/>
  <c r="N57" i="23"/>
  <c r="T57" i="23"/>
  <c r="H57" i="23"/>
  <c r="I57" i="23" s="1"/>
  <c r="J57" i="23" s="1"/>
  <c r="H63" i="23"/>
  <c r="N63" i="23"/>
  <c r="I87" i="23"/>
  <c r="J87" i="23" s="1"/>
  <c r="H80" i="22"/>
  <c r="H68" i="22"/>
  <c r="H74" i="22"/>
  <c r="I74" i="22" s="1"/>
  <c r="J74" i="22" s="1"/>
  <c r="N74" i="22"/>
  <c r="O74" i="22" s="1"/>
  <c r="P74" i="22" s="1"/>
  <c r="T62" i="22"/>
  <c r="Z50" i="22"/>
  <c r="AA50" i="22" s="1"/>
  <c r="N50" i="22"/>
  <c r="O50" i="22" s="1"/>
  <c r="T50" i="22"/>
  <c r="U50" i="22" s="1"/>
  <c r="H50" i="22"/>
  <c r="I50" i="22" s="1"/>
  <c r="Z56" i="22"/>
  <c r="AA56" i="22" s="1"/>
  <c r="AB56" i="22" s="1"/>
  <c r="N56" i="22"/>
  <c r="T56" i="22"/>
  <c r="H56" i="22"/>
  <c r="I56" i="22" s="1"/>
  <c r="J56" i="22" s="1"/>
  <c r="H62" i="22"/>
  <c r="N62" i="22"/>
  <c r="I86" i="22"/>
  <c r="J86" i="22" s="1"/>
  <c r="H79" i="7"/>
  <c r="H67" i="7"/>
  <c r="H73" i="7"/>
  <c r="I73" i="7" s="1"/>
  <c r="J73" i="7" s="1"/>
  <c r="N73" i="7"/>
  <c r="O73" i="7" s="1"/>
  <c r="P73" i="7" s="1"/>
  <c r="T61" i="7"/>
  <c r="Z49" i="7"/>
  <c r="AA49" i="7" s="1"/>
  <c r="N49" i="7"/>
  <c r="O49" i="7" s="1"/>
  <c r="T49" i="7"/>
  <c r="U49" i="7" s="1"/>
  <c r="H49" i="7"/>
  <c r="I49" i="7" s="1"/>
  <c r="Z55" i="7"/>
  <c r="AA55" i="7" s="1"/>
  <c r="AB55" i="7" s="1"/>
  <c r="N55" i="7"/>
  <c r="T55" i="7"/>
  <c r="H55" i="7"/>
  <c r="I55" i="7" s="1"/>
  <c r="J55" i="7" s="1"/>
  <c r="H61" i="7"/>
  <c r="N61" i="7"/>
  <c r="I85" i="7"/>
  <c r="J85" i="7" s="1"/>
  <c r="P25" i="6"/>
  <c r="D110" i="6"/>
  <c r="M104" i="6"/>
  <c r="Q104" i="6" s="1"/>
  <c r="G104" i="6"/>
  <c r="K104" i="6" s="1"/>
  <c r="D104" i="6"/>
  <c r="M86" i="6"/>
  <c r="Q86" i="6" s="1"/>
  <c r="G86" i="6"/>
  <c r="K86" i="6" s="1"/>
  <c r="D86" i="6"/>
  <c r="Y74" i="6"/>
  <c r="AC74" i="6" s="1"/>
  <c r="M74" i="6"/>
  <c r="Q74" i="6" s="1"/>
  <c r="S86" i="6"/>
  <c r="W86" i="6" s="1"/>
  <c r="AE74" i="6"/>
  <c r="AI74" i="6" s="1"/>
  <c r="S74" i="6"/>
  <c r="W74" i="6" s="1"/>
  <c r="G74" i="6"/>
  <c r="K74" i="6" s="1"/>
  <c r="P55" i="6" s="1"/>
  <c r="D74" i="6"/>
  <c r="G92" i="6"/>
  <c r="K92" i="6" s="1"/>
  <c r="P44" i="6" s="1"/>
  <c r="D92" i="6"/>
  <c r="H110" i="6"/>
  <c r="M98" i="6"/>
  <c r="Q98" i="6" s="1"/>
  <c r="G98" i="6"/>
  <c r="K98" i="6" s="1"/>
  <c r="D98" i="6"/>
  <c r="AE80" i="6"/>
  <c r="AI80" i="6" s="1"/>
  <c r="S80" i="6"/>
  <c r="W80" i="6" s="1"/>
  <c r="G80" i="6"/>
  <c r="K80" i="6" s="1"/>
  <c r="D80" i="6"/>
  <c r="Y80" i="6"/>
  <c r="AC80" i="6" s="1"/>
  <c r="M80" i="6"/>
  <c r="Q80" i="6" s="1"/>
  <c r="M67" i="5"/>
  <c r="Q67" i="5" s="1"/>
  <c r="G67" i="5"/>
  <c r="K67" i="5" s="1"/>
  <c r="D67" i="5"/>
  <c r="M49" i="5"/>
  <c r="Q49" i="5" s="1"/>
  <c r="G49" i="5"/>
  <c r="K49" i="5" s="1"/>
  <c r="D49" i="5"/>
  <c r="Y37" i="5"/>
  <c r="AC37" i="5" s="1"/>
  <c r="P18" i="5" s="1"/>
  <c r="M37" i="5"/>
  <c r="Q37" i="5" s="1"/>
  <c r="S49" i="5"/>
  <c r="W49" i="5" s="1"/>
  <c r="AE37" i="5"/>
  <c r="AI37" i="5" s="1"/>
  <c r="S37" i="5"/>
  <c r="W37" i="5" s="1"/>
  <c r="G37" i="5"/>
  <c r="K37" i="5" s="1"/>
  <c r="D37" i="5"/>
  <c r="G55" i="5"/>
  <c r="K55" i="5" s="1"/>
  <c r="D55" i="5"/>
  <c r="H73" i="5"/>
  <c r="M61" i="5"/>
  <c r="Q61" i="5" s="1"/>
  <c r="D61" i="5"/>
  <c r="AE43" i="5"/>
  <c r="AI43" i="5" s="1"/>
  <c r="S43" i="5"/>
  <c r="W43" i="5" s="1"/>
  <c r="G43" i="5"/>
  <c r="K43" i="5" s="1"/>
  <c r="D43" i="5"/>
  <c r="Y43" i="5"/>
  <c r="AC43" i="5" s="1"/>
  <c r="M43" i="5"/>
  <c r="Q43" i="5" s="1"/>
  <c r="AL47" i="41" l="1"/>
  <c r="AM47" i="41" s="1"/>
  <c r="AE47" i="41"/>
  <c r="AE53" i="41"/>
  <c r="AF53" i="41" s="1"/>
  <c r="AB50" i="40"/>
  <c r="V62" i="40"/>
  <c r="AF50" i="40"/>
  <c r="AF56" i="40"/>
  <c r="AG56" i="40" s="1"/>
  <c r="AL50" i="40"/>
  <c r="O62" i="40"/>
  <c r="P62" i="40" s="1"/>
  <c r="U56" i="40"/>
  <c r="V56" i="40" s="1"/>
  <c r="I68" i="40"/>
  <c r="J68" i="40" s="1"/>
  <c r="I62" i="40"/>
  <c r="J62" i="40" s="1"/>
  <c r="O56" i="40"/>
  <c r="P56" i="40" s="1"/>
  <c r="V50" i="40"/>
  <c r="I80" i="40"/>
  <c r="J80" i="40" s="1"/>
  <c r="P50" i="22"/>
  <c r="AL50" i="22" s="1"/>
  <c r="P22" i="5"/>
  <c r="P21" i="5"/>
  <c r="P26" i="6"/>
  <c r="P45" i="6"/>
  <c r="J50" i="22"/>
  <c r="AF50" i="22" s="1"/>
  <c r="AB50" i="22"/>
  <c r="AC76" i="18"/>
  <c r="Q76" i="18"/>
  <c r="AM76" i="18" s="1"/>
  <c r="AN76" i="18" s="1"/>
  <c r="AO76" i="18" s="1"/>
  <c r="W76" i="18"/>
  <c r="O106" i="18"/>
  <c r="P106" i="18" s="1"/>
  <c r="Q106" i="18" s="1"/>
  <c r="K82" i="18"/>
  <c r="AB82" i="18"/>
  <c r="AC82" i="18" s="1"/>
  <c r="K76" i="18"/>
  <c r="AB51" i="23"/>
  <c r="V63" i="23"/>
  <c r="AF51" i="23"/>
  <c r="AF57" i="23"/>
  <c r="AG57" i="23" s="1"/>
  <c r="AH57" i="23" s="1"/>
  <c r="AL51" i="23"/>
  <c r="AM51" i="23" s="1"/>
  <c r="AN51" i="23" s="1"/>
  <c r="O63" i="23"/>
  <c r="P63" i="23" s="1"/>
  <c r="U57" i="23"/>
  <c r="V57" i="23" s="1"/>
  <c r="I69" i="23"/>
  <c r="J69" i="23" s="1"/>
  <c r="I63" i="23"/>
  <c r="J63" i="23" s="1"/>
  <c r="O57" i="23"/>
  <c r="P57" i="23" s="1"/>
  <c r="V51" i="23"/>
  <c r="I81" i="23"/>
  <c r="J81" i="23" s="1"/>
  <c r="AF56" i="22"/>
  <c r="O62" i="22"/>
  <c r="P62" i="22" s="1"/>
  <c r="U56" i="22"/>
  <c r="V56" i="22" s="1"/>
  <c r="I68" i="22"/>
  <c r="J68" i="22" s="1"/>
  <c r="I62" i="22"/>
  <c r="J62" i="22" s="1"/>
  <c r="O56" i="22"/>
  <c r="P56" i="22" s="1"/>
  <c r="V50" i="22"/>
  <c r="U62" i="22"/>
  <c r="V62" i="22" s="1"/>
  <c r="I80" i="22"/>
  <c r="J80" i="22" s="1"/>
  <c r="P49" i="7"/>
  <c r="AL49" i="7" s="1"/>
  <c r="AB49" i="7"/>
  <c r="J49" i="7"/>
  <c r="AF49" i="7" s="1"/>
  <c r="AF55" i="7"/>
  <c r="O61" i="7"/>
  <c r="P61" i="7" s="1"/>
  <c r="U55" i="7"/>
  <c r="V55" i="7" s="1"/>
  <c r="I67" i="7"/>
  <c r="J67" i="7" s="1"/>
  <c r="I61" i="7"/>
  <c r="J61" i="7" s="1"/>
  <c r="O55" i="7"/>
  <c r="P55" i="7" s="1"/>
  <c r="V49" i="7"/>
  <c r="U61" i="7"/>
  <c r="V61" i="7" s="1"/>
  <c r="I79" i="7"/>
  <c r="J79" i="7" s="1"/>
  <c r="P22" i="6"/>
  <c r="P41" i="6"/>
  <c r="Z80" i="6"/>
  <c r="AA80" i="6" s="1"/>
  <c r="N80" i="6"/>
  <c r="O80" i="6" s="1"/>
  <c r="P80" i="6" s="1"/>
  <c r="T80" i="6"/>
  <c r="U80" i="6" s="1"/>
  <c r="H80" i="6"/>
  <c r="H98" i="6"/>
  <c r="I98" i="6" s="1"/>
  <c r="N98" i="6"/>
  <c r="O98" i="6" s="1"/>
  <c r="H92" i="6"/>
  <c r="I92" i="6" s="1"/>
  <c r="T86" i="6"/>
  <c r="U86" i="6" s="1"/>
  <c r="T74" i="6"/>
  <c r="U74" i="6" s="1"/>
  <c r="H74" i="6"/>
  <c r="I74" i="6" s="1"/>
  <c r="Z74" i="6"/>
  <c r="N74" i="6"/>
  <c r="O74" i="6" s="1"/>
  <c r="H104" i="6"/>
  <c r="H86" i="6"/>
  <c r="I86" i="6" s="1"/>
  <c r="N86" i="6"/>
  <c r="I110" i="6"/>
  <c r="J110" i="6" s="1"/>
  <c r="Z43" i="5"/>
  <c r="AA43" i="5" s="1"/>
  <c r="N43" i="5"/>
  <c r="T43" i="5"/>
  <c r="U43" i="5" s="1"/>
  <c r="H43" i="5"/>
  <c r="I43" i="5" s="1"/>
  <c r="J43" i="5" s="1"/>
  <c r="H61" i="5"/>
  <c r="N61" i="5"/>
  <c r="O61" i="5" s="1"/>
  <c r="H55" i="5"/>
  <c r="I55" i="5" s="1"/>
  <c r="T49" i="5"/>
  <c r="T37" i="5"/>
  <c r="U37" i="5" s="1"/>
  <c r="V37" i="5" s="1"/>
  <c r="H37" i="5"/>
  <c r="Z37" i="5"/>
  <c r="AA37" i="5" s="1"/>
  <c r="AB37" i="5" s="1"/>
  <c r="N37" i="5"/>
  <c r="O37" i="5" s="1"/>
  <c r="H67" i="5"/>
  <c r="I67" i="5" s="1"/>
  <c r="J67" i="5" s="1"/>
  <c r="H49" i="5"/>
  <c r="I49" i="5" s="1"/>
  <c r="J49" i="5" s="1"/>
  <c r="N49" i="5"/>
  <c r="O49" i="5" s="1"/>
  <c r="P49" i="5" s="1"/>
  <c r="I73" i="5"/>
  <c r="J73" i="5" s="1"/>
  <c r="AG53" i="41" l="1"/>
  <c r="AF47" i="41"/>
  <c r="AG47" i="41" s="1"/>
  <c r="N80" i="40"/>
  <c r="AM50" i="40"/>
  <c r="AN50" i="40" s="1"/>
  <c r="AH56" i="40"/>
  <c r="AG50" i="40"/>
  <c r="AH50" i="40" s="1"/>
  <c r="AG76" i="18"/>
  <c r="AG82" i="18"/>
  <c r="AH82" i="18" s="1"/>
  <c r="N81" i="23"/>
  <c r="AG51" i="23"/>
  <c r="AH51" i="23" s="1"/>
  <c r="N80" i="22"/>
  <c r="AG50" i="22"/>
  <c r="AH50" i="22" s="1"/>
  <c r="AG56" i="22"/>
  <c r="AH56" i="22" s="1"/>
  <c r="AM50" i="22"/>
  <c r="AN50" i="22" s="1"/>
  <c r="N79" i="7"/>
  <c r="AG49" i="7"/>
  <c r="AH49" i="7" s="1"/>
  <c r="AG55" i="7"/>
  <c r="AH55" i="7" s="1"/>
  <c r="AM49" i="7"/>
  <c r="AN49" i="7" s="1"/>
  <c r="I104" i="6"/>
  <c r="J104" i="6" s="1"/>
  <c r="N104" i="6" s="1"/>
  <c r="J98" i="6"/>
  <c r="J86" i="6"/>
  <c r="AB80" i="6"/>
  <c r="J74" i="6"/>
  <c r="AF74" i="6" s="1"/>
  <c r="V86" i="6"/>
  <c r="V74" i="6"/>
  <c r="O86" i="6"/>
  <c r="P86" i="6" s="1"/>
  <c r="P74" i="6"/>
  <c r="AA74" i="6"/>
  <c r="AB74" i="6" s="1"/>
  <c r="J92" i="6"/>
  <c r="P98" i="6"/>
  <c r="V80" i="6"/>
  <c r="I80" i="6"/>
  <c r="J80" i="6" s="1"/>
  <c r="AB43" i="5"/>
  <c r="AF43" i="5"/>
  <c r="N67" i="5"/>
  <c r="O67" i="5" s="1"/>
  <c r="P67" i="5" s="1"/>
  <c r="I37" i="5"/>
  <c r="J37" i="5" s="1"/>
  <c r="P37" i="5"/>
  <c r="U49" i="5"/>
  <c r="V49" i="5" s="1"/>
  <c r="J55" i="5"/>
  <c r="I61" i="5"/>
  <c r="J61" i="5" s="1"/>
  <c r="P61" i="5"/>
  <c r="O43" i="5"/>
  <c r="P43" i="5" s="1"/>
  <c r="V43" i="5"/>
  <c r="O80" i="40" l="1"/>
  <c r="P80" i="40" s="1"/>
  <c r="T61" i="5"/>
  <c r="U61" i="5" s="1"/>
  <c r="V61" i="5" s="1"/>
  <c r="AI82" i="18"/>
  <c r="AH76" i="18"/>
  <c r="AI76" i="18" s="1"/>
  <c r="O81" i="23"/>
  <c r="P81" i="23" s="1"/>
  <c r="O80" i="22"/>
  <c r="P80" i="22" s="1"/>
  <c r="O79" i="7"/>
  <c r="P79" i="7" s="1"/>
  <c r="AL74" i="6"/>
  <c r="AM74" i="6" s="1"/>
  <c r="AN74" i="6" s="1"/>
  <c r="AF80" i="6"/>
  <c r="O104" i="6"/>
  <c r="P104" i="6" s="1"/>
  <c r="AG74" i="6"/>
  <c r="AH74" i="6" s="1"/>
  <c r="AF37" i="5"/>
  <c r="AG43" i="5"/>
  <c r="AH43" i="5" s="1"/>
  <c r="AG80" i="6" l="1"/>
  <c r="AH80" i="6" s="1"/>
  <c r="AG37" i="5"/>
  <c r="AH37" i="5" s="1"/>
  <c r="P14" i="4" l="1"/>
  <c r="C70" i="4"/>
  <c r="B70" i="4"/>
  <c r="C64" i="4"/>
  <c r="B64" i="4"/>
  <c r="C58" i="4"/>
  <c r="B58" i="4"/>
  <c r="C52" i="4"/>
  <c r="B52" i="4"/>
  <c r="C46" i="4"/>
  <c r="B46" i="4"/>
  <c r="C40" i="4"/>
  <c r="B40" i="4"/>
  <c r="C34" i="4"/>
  <c r="B34" i="4"/>
  <c r="P23" i="3"/>
  <c r="P18" i="3"/>
  <c r="P17" i="3"/>
  <c r="P16" i="3"/>
  <c r="P15" i="3"/>
  <c r="P13" i="3"/>
  <c r="C70" i="3"/>
  <c r="C64" i="3"/>
  <c r="C58" i="3"/>
  <c r="C52" i="3"/>
  <c r="C46" i="3"/>
  <c r="C40" i="3"/>
  <c r="C34" i="3"/>
  <c r="P21" i="3"/>
  <c r="P14" i="3"/>
  <c r="P12" i="3"/>
  <c r="B70" i="3"/>
  <c r="B64" i="3"/>
  <c r="B58" i="3"/>
  <c r="B52" i="3"/>
  <c r="B46" i="3"/>
  <c r="B40" i="3"/>
  <c r="B34" i="3"/>
  <c r="L55" i="6"/>
  <c r="E40" i="4" l="1"/>
  <c r="G40" i="4" s="1"/>
  <c r="K40" i="4" s="1"/>
  <c r="E52" i="4"/>
  <c r="G52" i="4" s="1"/>
  <c r="K52" i="4" s="1"/>
  <c r="E52" i="3"/>
  <c r="G52" i="3" s="1"/>
  <c r="K52" i="3" s="1"/>
  <c r="E70" i="4"/>
  <c r="G70" i="4" s="1"/>
  <c r="K70" i="4" s="1"/>
  <c r="AE40" i="4"/>
  <c r="AI40" i="4" s="1"/>
  <c r="S40" i="4"/>
  <c r="W40" i="4" s="1"/>
  <c r="Y40" i="4"/>
  <c r="AC40" i="4" s="1"/>
  <c r="M40" i="4"/>
  <c r="Q40" i="4" s="1"/>
  <c r="E34" i="4"/>
  <c r="E46" i="4"/>
  <c r="E58" i="4"/>
  <c r="E64" i="4"/>
  <c r="E70" i="3"/>
  <c r="G70" i="3" s="1"/>
  <c r="K70" i="3" s="1"/>
  <c r="E40" i="3"/>
  <c r="E34" i="3"/>
  <c r="E46" i="3"/>
  <c r="E58" i="3"/>
  <c r="E64" i="3"/>
  <c r="D40" i="4" l="1"/>
  <c r="D52" i="4"/>
  <c r="H52" i="4" s="1"/>
  <c r="I52" i="4" s="1"/>
  <c r="D52" i="3"/>
  <c r="H52" i="3" s="1"/>
  <c r="D70" i="4"/>
  <c r="H70" i="4" s="1"/>
  <c r="M58" i="4"/>
  <c r="Q58" i="4" s="1"/>
  <c r="G58" i="4"/>
  <c r="K58" i="4" s="1"/>
  <c r="D58" i="4"/>
  <c r="M64" i="4"/>
  <c r="Q64" i="4" s="1"/>
  <c r="G64" i="4"/>
  <c r="K64" i="4" s="1"/>
  <c r="D64" i="4"/>
  <c r="M46" i="4"/>
  <c r="Q46" i="4" s="1"/>
  <c r="G46" i="4"/>
  <c r="K46" i="4" s="1"/>
  <c r="D46" i="4"/>
  <c r="Y34" i="4"/>
  <c r="AC34" i="4" s="1"/>
  <c r="M34" i="4"/>
  <c r="Q34" i="4" s="1"/>
  <c r="S46" i="4"/>
  <c r="W46" i="4" s="1"/>
  <c r="AE34" i="4"/>
  <c r="AI34" i="4" s="1"/>
  <c r="P13" i="4" s="1"/>
  <c r="S34" i="4"/>
  <c r="W34" i="4" s="1"/>
  <c r="G34" i="4"/>
  <c r="K34" i="4" s="1"/>
  <c r="P15" i="4" s="1"/>
  <c r="D34" i="4"/>
  <c r="Z40" i="4"/>
  <c r="N40" i="4"/>
  <c r="O40" i="4" s="1"/>
  <c r="P40" i="4" s="1"/>
  <c r="T40" i="4"/>
  <c r="H40" i="4"/>
  <c r="I40" i="4" s="1"/>
  <c r="D70" i="3"/>
  <c r="H70" i="3" s="1"/>
  <c r="M64" i="3"/>
  <c r="Q64" i="3" s="1"/>
  <c r="G64" i="3"/>
  <c r="K64" i="3" s="1"/>
  <c r="D64" i="3"/>
  <c r="M46" i="3"/>
  <c r="Q46" i="3" s="1"/>
  <c r="G46" i="3"/>
  <c r="K46" i="3" s="1"/>
  <c r="D46" i="3"/>
  <c r="M58" i="3"/>
  <c r="Q58" i="3" s="1"/>
  <c r="G58" i="3"/>
  <c r="K58" i="3" s="1"/>
  <c r="D58" i="3"/>
  <c r="Y34" i="3"/>
  <c r="AC34" i="3" s="1"/>
  <c r="M34" i="3"/>
  <c r="Q34" i="3" s="1"/>
  <c r="S46" i="3"/>
  <c r="W46" i="3" s="1"/>
  <c r="AE34" i="3"/>
  <c r="AI34" i="3" s="1"/>
  <c r="S34" i="3"/>
  <c r="W34" i="3" s="1"/>
  <c r="G34" i="3"/>
  <c r="K34" i="3" s="1"/>
  <c r="P22" i="3" s="1"/>
  <c r="D34" i="3"/>
  <c r="AE40" i="3"/>
  <c r="AI40" i="3" s="1"/>
  <c r="S40" i="3"/>
  <c r="W40" i="3" s="1"/>
  <c r="G40" i="3"/>
  <c r="K40" i="3" s="1"/>
  <c r="D40" i="3"/>
  <c r="Y40" i="3"/>
  <c r="AC40" i="3" s="1"/>
  <c r="M40" i="3"/>
  <c r="Q40" i="3" s="1"/>
  <c r="L34" i="23"/>
  <c r="L14" i="23"/>
  <c r="K27" i="22"/>
  <c r="K32" i="22"/>
  <c r="K10" i="22"/>
  <c r="L35" i="6"/>
  <c r="L16" i="6"/>
  <c r="P20" i="3" l="1"/>
  <c r="P19" i="3"/>
  <c r="P23" i="4"/>
  <c r="P22" i="4"/>
  <c r="P21" i="4"/>
  <c r="P20" i="4"/>
  <c r="H46" i="4"/>
  <c r="I46" i="4" s="1"/>
  <c r="J46" i="4" s="1"/>
  <c r="N46" i="4"/>
  <c r="O46" i="4" s="1"/>
  <c r="P46" i="4" s="1"/>
  <c r="H58" i="4"/>
  <c r="I58" i="4" s="1"/>
  <c r="J58" i="4" s="1"/>
  <c r="N58" i="4"/>
  <c r="O58" i="4" s="1"/>
  <c r="P58" i="4" s="1"/>
  <c r="J40" i="4"/>
  <c r="AA40" i="4"/>
  <c r="AB40" i="4" s="1"/>
  <c r="U40" i="4"/>
  <c r="V40" i="4" s="1"/>
  <c r="J52" i="4"/>
  <c r="I70" i="4"/>
  <c r="J70" i="4" s="1"/>
  <c r="T46" i="4"/>
  <c r="U46" i="4" s="1"/>
  <c r="V46" i="4" s="1"/>
  <c r="T34" i="4"/>
  <c r="H34" i="4"/>
  <c r="I34" i="4" s="1"/>
  <c r="J34" i="4" s="1"/>
  <c r="Z34" i="4"/>
  <c r="N34" i="4"/>
  <c r="O34" i="4" s="1"/>
  <c r="P34" i="4" s="1"/>
  <c r="H64" i="4"/>
  <c r="Z40" i="3"/>
  <c r="N40" i="3"/>
  <c r="O40" i="3" s="1"/>
  <c r="P40" i="3" s="1"/>
  <c r="T40" i="3"/>
  <c r="U40" i="3" s="1"/>
  <c r="V40" i="3" s="1"/>
  <c r="H40" i="3"/>
  <c r="I40" i="3" s="1"/>
  <c r="T46" i="3"/>
  <c r="T34" i="3"/>
  <c r="U34" i="3" s="1"/>
  <c r="V34" i="3" s="1"/>
  <c r="H34" i="3"/>
  <c r="Z34" i="3"/>
  <c r="AA34" i="3" s="1"/>
  <c r="AB34" i="3" s="1"/>
  <c r="N34" i="3"/>
  <c r="O34" i="3" s="1"/>
  <c r="H64" i="3"/>
  <c r="I64" i="3" s="1"/>
  <c r="J64" i="3" s="1"/>
  <c r="I52" i="3"/>
  <c r="J52" i="3" s="1"/>
  <c r="H58" i="3"/>
  <c r="N58" i="3"/>
  <c r="O58" i="3" s="1"/>
  <c r="H46" i="3"/>
  <c r="N46" i="3"/>
  <c r="O46" i="3" s="1"/>
  <c r="I70" i="3"/>
  <c r="J70" i="3" s="1"/>
  <c r="L30" i="26"/>
  <c r="L29" i="26"/>
  <c r="L28" i="26"/>
  <c r="L27" i="26"/>
  <c r="L26" i="26"/>
  <c r="L25" i="26"/>
  <c r="L24" i="26"/>
  <c r="L23" i="26"/>
  <c r="L15" i="26"/>
  <c r="L14" i="26"/>
  <c r="L13" i="26"/>
  <c r="L12" i="26"/>
  <c r="L11" i="26"/>
  <c r="L10" i="26"/>
  <c r="L9" i="26"/>
  <c r="L8" i="26"/>
  <c r="E30" i="26"/>
  <c r="E29" i="26"/>
  <c r="E28" i="26"/>
  <c r="E27" i="26"/>
  <c r="E26" i="26"/>
  <c r="E25" i="26"/>
  <c r="E24" i="26"/>
  <c r="E15" i="26"/>
  <c r="E14" i="26"/>
  <c r="E13" i="26"/>
  <c r="E12" i="26"/>
  <c r="E11" i="26"/>
  <c r="E10" i="26"/>
  <c r="E9" i="26"/>
  <c r="E8" i="26"/>
  <c r="AF34" i="4" l="1"/>
  <c r="AG34" i="4" s="1"/>
  <c r="AH34" i="4" s="1"/>
  <c r="AA34" i="4"/>
  <c r="AB34" i="4" s="1"/>
  <c r="AF40" i="4"/>
  <c r="AG40" i="4" s="1"/>
  <c r="AH40" i="4" s="1"/>
  <c r="I64" i="4"/>
  <c r="J64" i="4" s="1"/>
  <c r="U34" i="4"/>
  <c r="V34" i="4" s="1"/>
  <c r="N64" i="3"/>
  <c r="I46" i="3"/>
  <c r="J46" i="3" s="1"/>
  <c r="P46" i="3"/>
  <c r="I58" i="3"/>
  <c r="J58" i="3" s="1"/>
  <c r="P58" i="3"/>
  <c r="I34" i="3"/>
  <c r="J34" i="3" s="1"/>
  <c r="P34" i="3"/>
  <c r="U46" i="3"/>
  <c r="V46" i="3" s="1"/>
  <c r="J40" i="3"/>
  <c r="AA40" i="3"/>
  <c r="AB40" i="3" s="1"/>
  <c r="L64" i="18"/>
  <c r="L47" i="18"/>
  <c r="L31" i="18"/>
  <c r="L15" i="18"/>
  <c r="E69" i="18"/>
  <c r="E68" i="18"/>
  <c r="E67" i="18"/>
  <c r="E66" i="18"/>
  <c r="E65" i="18"/>
  <c r="E64" i="18"/>
  <c r="E63" i="18"/>
  <c r="E56" i="18"/>
  <c r="E55" i="18"/>
  <c r="E54" i="18"/>
  <c r="E53" i="18"/>
  <c r="E52" i="18"/>
  <c r="E51" i="18"/>
  <c r="E50" i="18"/>
  <c r="E49" i="18"/>
  <c r="E48" i="18"/>
  <c r="E47" i="18"/>
  <c r="E46" i="18"/>
  <c r="E40" i="18"/>
  <c r="E39" i="18"/>
  <c r="E38" i="18"/>
  <c r="E37" i="18"/>
  <c r="E36" i="18"/>
  <c r="E35" i="18"/>
  <c r="E34" i="18"/>
  <c r="E33" i="18"/>
  <c r="E32" i="18"/>
  <c r="E31" i="18"/>
  <c r="E30" i="18"/>
  <c r="E24" i="18"/>
  <c r="E23" i="18"/>
  <c r="E22" i="18"/>
  <c r="E21" i="18"/>
  <c r="E20" i="18"/>
  <c r="E19" i="18"/>
  <c r="E18" i="18"/>
  <c r="E17" i="18"/>
  <c r="E16" i="18"/>
  <c r="E15" i="18"/>
  <c r="E14" i="18"/>
  <c r="L69" i="18"/>
  <c r="L68" i="18"/>
  <c r="L67" i="18"/>
  <c r="L66" i="18"/>
  <c r="L65" i="18"/>
  <c r="L63" i="18"/>
  <c r="L56" i="18"/>
  <c r="L55" i="18"/>
  <c r="L54" i="18"/>
  <c r="L53" i="18"/>
  <c r="L52" i="18"/>
  <c r="L51" i="18"/>
  <c r="L50" i="18"/>
  <c r="L49" i="18"/>
  <c r="L48" i="18"/>
  <c r="L46" i="18"/>
  <c r="L40" i="18"/>
  <c r="L39" i="18"/>
  <c r="L38" i="18"/>
  <c r="L37" i="18"/>
  <c r="L36" i="18"/>
  <c r="L35" i="18"/>
  <c r="L34" i="18"/>
  <c r="L33" i="18"/>
  <c r="L32" i="18"/>
  <c r="L30" i="18"/>
  <c r="L24" i="18"/>
  <c r="L23" i="18"/>
  <c r="L22" i="18"/>
  <c r="L21" i="18"/>
  <c r="L20" i="18"/>
  <c r="L19" i="18"/>
  <c r="L18" i="18"/>
  <c r="L17" i="18"/>
  <c r="L16" i="18"/>
  <c r="L14" i="18"/>
  <c r="K42" i="22"/>
  <c r="K41" i="22"/>
  <c r="K40" i="22"/>
  <c r="K39" i="22"/>
  <c r="K38" i="22"/>
  <c r="K37" i="22"/>
  <c r="K36" i="22"/>
  <c r="K35" i="22"/>
  <c r="K34" i="22"/>
  <c r="K33" i="22"/>
  <c r="K31" i="22"/>
  <c r="K30" i="22"/>
  <c r="K29" i="22"/>
  <c r="K28" i="22"/>
  <c r="K21" i="22"/>
  <c r="K20" i="22"/>
  <c r="K19" i="22"/>
  <c r="K18" i="22"/>
  <c r="K17" i="22"/>
  <c r="K16" i="22"/>
  <c r="K15" i="22"/>
  <c r="K14" i="22"/>
  <c r="K13" i="22"/>
  <c r="K12" i="22"/>
  <c r="K11" i="22"/>
  <c r="K9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L44" i="23"/>
  <c r="L43" i="23"/>
  <c r="L42" i="23"/>
  <c r="L41" i="23"/>
  <c r="L40" i="23"/>
  <c r="L39" i="23"/>
  <c r="L38" i="23"/>
  <c r="L37" i="23"/>
  <c r="L36" i="23"/>
  <c r="L35" i="23"/>
  <c r="L33" i="23"/>
  <c r="L15" i="23"/>
  <c r="L16" i="23"/>
  <c r="L17" i="23"/>
  <c r="L18" i="23"/>
  <c r="L19" i="23"/>
  <c r="L20" i="23"/>
  <c r="L21" i="23"/>
  <c r="L22" i="23"/>
  <c r="L23" i="23"/>
  <c r="L24" i="23"/>
  <c r="L25" i="23"/>
  <c r="L13" i="23"/>
  <c r="E43" i="23"/>
  <c r="E42" i="23"/>
  <c r="E41" i="23"/>
  <c r="E40" i="23"/>
  <c r="E39" i="23"/>
  <c r="E38" i="23"/>
  <c r="E37" i="23"/>
  <c r="E36" i="23"/>
  <c r="E35" i="23"/>
  <c r="E34" i="23"/>
  <c r="E3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13" i="23"/>
  <c r="N64" i="4" l="1"/>
  <c r="AF34" i="3"/>
  <c r="AF40" i="3"/>
  <c r="O64" i="3"/>
  <c r="P64" i="3" s="1"/>
  <c r="O64" i="4" l="1"/>
  <c r="P64" i="4" s="1"/>
  <c r="AG40" i="3"/>
  <c r="AH40" i="3" s="1"/>
  <c r="AG34" i="3"/>
  <c r="AH34" i="3" s="1"/>
  <c r="D15" i="6"/>
  <c r="M39" i="7" l="1"/>
  <c r="M38" i="7"/>
  <c r="M37" i="7"/>
  <c r="M36" i="7"/>
  <c r="M35" i="7"/>
  <c r="M34" i="7"/>
  <c r="M33" i="7"/>
  <c r="M32" i="7"/>
  <c r="M19" i="7"/>
  <c r="M20" i="7"/>
  <c r="M21" i="7"/>
  <c r="M22" i="7"/>
  <c r="M23" i="7"/>
  <c r="M24" i="7"/>
  <c r="M25" i="7"/>
  <c r="M18" i="7"/>
  <c r="F38" i="7"/>
  <c r="F37" i="7"/>
  <c r="F36" i="7"/>
  <c r="F35" i="7"/>
  <c r="F34" i="7"/>
  <c r="F33" i="7"/>
  <c r="F32" i="7"/>
  <c r="F19" i="7"/>
  <c r="F20" i="7"/>
  <c r="F21" i="7"/>
  <c r="F22" i="7"/>
  <c r="F23" i="7"/>
  <c r="F24" i="7"/>
  <c r="F25" i="7"/>
  <c r="F26" i="7"/>
  <c r="F18" i="7"/>
  <c r="L65" i="6" l="1"/>
  <c r="L64" i="6"/>
  <c r="L63" i="6"/>
  <c r="L62" i="6"/>
  <c r="L61" i="6"/>
  <c r="L60" i="6"/>
  <c r="L59" i="6"/>
  <c r="L58" i="6"/>
  <c r="L57" i="6"/>
  <c r="L56" i="6"/>
  <c r="L54" i="6"/>
  <c r="L47" i="6"/>
  <c r="L46" i="6"/>
  <c r="L45" i="6"/>
  <c r="L44" i="6"/>
  <c r="L43" i="6"/>
  <c r="L42" i="6"/>
  <c r="L41" i="6"/>
  <c r="L40" i="6"/>
  <c r="L39" i="6"/>
  <c r="L38" i="6"/>
  <c r="L37" i="6"/>
  <c r="L36" i="6"/>
  <c r="L34" i="6"/>
  <c r="L17" i="6"/>
  <c r="L18" i="6"/>
  <c r="L19" i="6"/>
  <c r="L20" i="6"/>
  <c r="L21" i="6"/>
  <c r="L22" i="6"/>
  <c r="L23" i="6"/>
  <c r="L24" i="6"/>
  <c r="L25" i="6"/>
  <c r="Q25" i="6" s="1"/>
  <c r="L26" i="6"/>
  <c r="L27" i="6"/>
  <c r="L28" i="6"/>
  <c r="L15" i="6"/>
  <c r="L16" i="5"/>
  <c r="L17" i="4"/>
  <c r="L15" i="4"/>
  <c r="L22" i="3"/>
  <c r="L15" i="3"/>
  <c r="L13" i="3"/>
  <c r="L23" i="5"/>
  <c r="L22" i="5"/>
  <c r="L21" i="5"/>
  <c r="L20" i="5"/>
  <c r="L19" i="5"/>
  <c r="L18" i="5"/>
  <c r="L17" i="5"/>
  <c r="L15" i="5"/>
  <c r="L14" i="5"/>
  <c r="L13" i="5"/>
  <c r="L25" i="4"/>
  <c r="L24" i="4"/>
  <c r="L23" i="4"/>
  <c r="L22" i="4"/>
  <c r="L21" i="4"/>
  <c r="L20" i="4"/>
  <c r="L19" i="4"/>
  <c r="L18" i="4"/>
  <c r="L16" i="4"/>
  <c r="L14" i="4"/>
  <c r="L13" i="4"/>
  <c r="L12" i="4"/>
  <c r="L14" i="3"/>
  <c r="L16" i="3"/>
  <c r="L17" i="3"/>
  <c r="L18" i="3"/>
  <c r="L19" i="3"/>
  <c r="L20" i="3"/>
  <c r="L21" i="3"/>
  <c r="L23" i="3"/>
  <c r="L24" i="3"/>
  <c r="L25" i="3"/>
  <c r="L26" i="3"/>
  <c r="L12" i="3"/>
  <c r="L11" i="2"/>
  <c r="L12" i="2"/>
  <c r="L13" i="2"/>
  <c r="L14" i="2"/>
  <c r="L15" i="2"/>
  <c r="L16" i="2"/>
  <c r="L17" i="2"/>
  <c r="L18" i="2"/>
  <c r="L19" i="2"/>
  <c r="L20" i="2"/>
  <c r="L10" i="2"/>
  <c r="D15" i="5"/>
  <c r="D16" i="5"/>
  <c r="D17" i="5"/>
  <c r="D18" i="5"/>
  <c r="D20" i="5"/>
  <c r="D21" i="5"/>
  <c r="D22" i="5"/>
  <c r="D23" i="5"/>
  <c r="D14" i="5"/>
  <c r="D14" i="4"/>
  <c r="D15" i="4"/>
  <c r="D16" i="4"/>
  <c r="D17" i="4"/>
  <c r="D18" i="4"/>
  <c r="D19" i="4"/>
  <c r="D20" i="4"/>
  <c r="D21" i="4"/>
  <c r="D22" i="4"/>
  <c r="D23" i="4"/>
  <c r="D24" i="4"/>
  <c r="D13" i="4"/>
  <c r="D13" i="3"/>
  <c r="D14" i="3"/>
  <c r="D15" i="3"/>
  <c r="D16" i="3"/>
  <c r="D17" i="3"/>
  <c r="D18" i="3"/>
  <c r="D19" i="3"/>
  <c r="D20" i="3"/>
  <c r="D21" i="3"/>
  <c r="D22" i="3"/>
  <c r="D23" i="3"/>
  <c r="D12" i="3"/>
  <c r="D11" i="2"/>
  <c r="D12" i="2"/>
  <c r="D13" i="2"/>
  <c r="D14" i="2"/>
  <c r="D15" i="2"/>
  <c r="D16" i="2"/>
  <c r="D17" i="2"/>
  <c r="D18" i="2"/>
  <c r="D19" i="2"/>
  <c r="D20" i="2"/>
  <c r="D10" i="2"/>
  <c r="D64" i="6"/>
  <c r="D63" i="6"/>
  <c r="D62" i="6"/>
  <c r="D61" i="6"/>
  <c r="D60" i="6"/>
  <c r="D59" i="6"/>
  <c r="D58" i="6"/>
  <c r="D57" i="6"/>
  <c r="D56" i="6"/>
  <c r="D55" i="6"/>
  <c r="D54" i="6"/>
  <c r="D47" i="6"/>
  <c r="D46" i="6"/>
  <c r="D45" i="6"/>
  <c r="D43" i="6"/>
  <c r="D42" i="6"/>
  <c r="D41" i="6"/>
  <c r="D40" i="6"/>
  <c r="D39" i="6"/>
  <c r="D38" i="6"/>
  <c r="D37" i="6"/>
  <c r="D36" i="6"/>
  <c r="D35" i="6"/>
  <c r="D34" i="6"/>
  <c r="D16" i="6"/>
  <c r="D17" i="6"/>
  <c r="D18" i="6"/>
  <c r="D19" i="6"/>
  <c r="D20" i="6"/>
  <c r="D21" i="6"/>
  <c r="D22" i="6"/>
  <c r="D23" i="6"/>
  <c r="D24" i="6"/>
  <c r="D26" i="6"/>
  <c r="D27" i="6"/>
  <c r="D28" i="6"/>
  <c r="I54" i="6" l="1"/>
  <c r="I65" i="6"/>
  <c r="I64" i="6"/>
  <c r="I55" i="6"/>
  <c r="I19" i="5"/>
  <c r="I10" i="2"/>
  <c r="I19" i="2"/>
  <c r="I17" i="2"/>
  <c r="I15" i="2"/>
  <c r="I13" i="2"/>
  <c r="I11" i="2"/>
  <c r="I23" i="3"/>
  <c r="I20" i="3"/>
  <c r="I18" i="3"/>
  <c r="I16" i="3"/>
  <c r="I13" i="4"/>
  <c r="I16" i="4"/>
  <c r="I19" i="4"/>
  <c r="I21" i="4"/>
  <c r="I23" i="4"/>
  <c r="I14" i="5"/>
  <c r="I17" i="5"/>
  <c r="I21" i="5"/>
  <c r="I23" i="5"/>
  <c r="I12" i="3"/>
  <c r="I15" i="3"/>
  <c r="I20" i="2"/>
  <c r="I18" i="2"/>
  <c r="I16" i="2"/>
  <c r="I14" i="2"/>
  <c r="I12" i="2"/>
  <c r="I21" i="3"/>
  <c r="I19" i="3"/>
  <c r="I17" i="3"/>
  <c r="I14" i="3"/>
  <c r="I14" i="4"/>
  <c r="I18" i="4"/>
  <c r="I20" i="4"/>
  <c r="I22" i="4"/>
  <c r="I24" i="4"/>
  <c r="I15" i="5"/>
  <c r="I18" i="5"/>
  <c r="I20" i="5"/>
  <c r="I22" i="5"/>
  <c r="I13" i="3"/>
  <c r="I22" i="3"/>
  <c r="I15" i="4"/>
  <c r="I17" i="4"/>
  <c r="I16" i="5"/>
  <c r="I28" i="6"/>
  <c r="I26" i="6"/>
  <c r="I24" i="6"/>
  <c r="I34" i="6"/>
  <c r="I37" i="6"/>
  <c r="I39" i="6"/>
  <c r="I41" i="6"/>
  <c r="I43" i="6"/>
  <c r="I45" i="6"/>
  <c r="I47" i="6"/>
  <c r="I56" i="6"/>
  <c r="I58" i="6"/>
  <c r="I60" i="6"/>
  <c r="I62" i="6"/>
  <c r="I27" i="6"/>
  <c r="I25" i="6"/>
  <c r="I36" i="6"/>
  <c r="I38" i="6"/>
  <c r="I40" i="6"/>
  <c r="I42" i="6"/>
  <c r="I44" i="6"/>
  <c r="I46" i="6"/>
  <c r="I57" i="6"/>
  <c r="I59" i="6"/>
  <c r="I61" i="6"/>
  <c r="I63" i="6"/>
  <c r="I35" i="6"/>
  <c r="I23" i="6"/>
  <c r="I21" i="6"/>
  <c r="I19" i="6"/>
  <c r="I17" i="6"/>
  <c r="I15" i="6"/>
  <c r="I22" i="6"/>
  <c r="I20" i="6"/>
  <c r="I18" i="6"/>
  <c r="I16" i="6"/>
  <c r="M3" i="1" l="1"/>
  <c r="G16" i="1" l="1"/>
  <c r="C1848" i="1" s="1"/>
  <c r="P77" i="1"/>
  <c r="P73" i="1"/>
  <c r="P69" i="1"/>
  <c r="G21" i="1"/>
  <c r="C1863" i="1" s="1"/>
  <c r="I19" i="1"/>
  <c r="C1859" i="1" s="1"/>
  <c r="H18" i="1"/>
  <c r="C1855" i="1" s="1"/>
  <c r="I17" i="1"/>
  <c r="C1853" i="1" s="1"/>
  <c r="H21" i="1"/>
  <c r="C1864" i="1" s="1"/>
  <c r="G20" i="1"/>
  <c r="C1860" i="1" s="1"/>
  <c r="I18" i="1"/>
  <c r="C1856" i="1" s="1"/>
  <c r="H17" i="1"/>
  <c r="C1852" i="1" s="1"/>
  <c r="P80" i="1"/>
  <c r="P76" i="1"/>
  <c r="P72" i="1"/>
  <c r="P68" i="1"/>
  <c r="G23" i="1"/>
  <c r="C1866" i="1" s="1"/>
  <c r="I20" i="1"/>
  <c r="C1862" i="1" s="1"/>
  <c r="H19" i="1"/>
  <c r="C1858" i="1" s="1"/>
  <c r="G18" i="1"/>
  <c r="C1854" i="1" s="1"/>
  <c r="I16" i="1"/>
  <c r="C1850" i="1" s="1"/>
  <c r="P79" i="1"/>
  <c r="P75" i="1"/>
  <c r="P71" i="1"/>
  <c r="P67" i="1"/>
  <c r="G22" i="1"/>
  <c r="C1865" i="1" s="1"/>
  <c r="H20" i="1"/>
  <c r="C1861" i="1" s="1"/>
  <c r="G19" i="1"/>
  <c r="C1857" i="1" s="1"/>
  <c r="G17" i="1"/>
  <c r="C1851" i="1" s="1"/>
  <c r="H16" i="1"/>
  <c r="C1849" i="1" s="1"/>
  <c r="P78" i="1"/>
  <c r="P74" i="1"/>
  <c r="P70" i="1"/>
  <c r="P66" i="1"/>
  <c r="P31" i="1"/>
  <c r="P63" i="1"/>
  <c r="P59" i="1"/>
  <c r="P55" i="1"/>
  <c r="P51" i="1"/>
  <c r="P62" i="1"/>
  <c r="P58" i="1"/>
  <c r="P54" i="1"/>
  <c r="P50" i="1"/>
  <c r="P65" i="1"/>
  <c r="P57" i="1"/>
  <c r="P64" i="1"/>
  <c r="P56" i="1"/>
  <c r="P61" i="1"/>
  <c r="P53" i="1"/>
  <c r="P47" i="1"/>
  <c r="P43" i="1"/>
  <c r="P39" i="1"/>
  <c r="P35" i="1"/>
  <c r="P30" i="1"/>
  <c r="P26" i="1"/>
  <c r="P48" i="1"/>
  <c r="P42" i="1"/>
  <c r="P37" i="1"/>
  <c r="P32" i="1"/>
  <c r="P25" i="1"/>
  <c r="P45" i="1"/>
  <c r="P40" i="1"/>
  <c r="P34" i="1"/>
  <c r="P28" i="1"/>
  <c r="P49" i="1"/>
  <c r="P38" i="1"/>
  <c r="P33" i="1"/>
  <c r="P60" i="1"/>
  <c r="P46" i="1"/>
  <c r="P41" i="1"/>
  <c r="P36" i="1"/>
  <c r="P29" i="1"/>
  <c r="P52" i="1"/>
  <c r="P44" i="1"/>
  <c r="P27" i="1"/>
  <c r="P21" i="1"/>
  <c r="P17" i="1"/>
  <c r="P24" i="1"/>
  <c r="P20" i="1"/>
  <c r="P16" i="1"/>
  <c r="P23" i="1"/>
  <c r="P19" i="1"/>
  <c r="P22" i="1"/>
  <c r="P18" i="1"/>
  <c r="P13" i="1"/>
  <c r="P9" i="1"/>
  <c r="P5" i="1"/>
  <c r="P12" i="1"/>
  <c r="P8" i="1"/>
  <c r="P4" i="1"/>
  <c r="P15" i="1"/>
  <c r="P11" i="1"/>
  <c r="P7" i="1"/>
  <c r="P3" i="1"/>
  <c r="M21" i="5" s="1"/>
  <c r="P14" i="1"/>
  <c r="P10" i="1"/>
  <c r="P6" i="1"/>
  <c r="E18" i="5"/>
  <c r="E20" i="3"/>
  <c r="M20" i="2"/>
  <c r="M43" i="6"/>
  <c r="M19" i="6" l="1"/>
  <c r="E20" i="2"/>
  <c r="E28" i="41"/>
  <c r="E28" i="40"/>
  <c r="L28" i="41"/>
  <c r="L28" i="40"/>
  <c r="E32" i="40"/>
  <c r="L32" i="41"/>
  <c r="L32" i="40"/>
  <c r="E32" i="41"/>
  <c r="L16" i="40"/>
  <c r="E16" i="41"/>
  <c r="L16" i="41"/>
  <c r="E16" i="40"/>
  <c r="E17" i="41"/>
  <c r="L17" i="41"/>
  <c r="E17" i="40"/>
  <c r="L17" i="40"/>
  <c r="L18" i="41"/>
  <c r="E18" i="41"/>
  <c r="E18" i="40"/>
  <c r="L18" i="40"/>
  <c r="E24" i="41"/>
  <c r="L24" i="41"/>
  <c r="E27" i="40"/>
  <c r="L27" i="41"/>
  <c r="L27" i="40"/>
  <c r="E27" i="41"/>
  <c r="E35" i="40"/>
  <c r="L35" i="40"/>
  <c r="E34" i="40"/>
  <c r="L34" i="40"/>
  <c r="E31" i="40"/>
  <c r="L31" i="41"/>
  <c r="L31" i="40"/>
  <c r="E31" i="41"/>
  <c r="L11" i="41"/>
  <c r="L11" i="40"/>
  <c r="E11" i="41"/>
  <c r="E11" i="40"/>
  <c r="E17" i="39"/>
  <c r="M17" i="39"/>
  <c r="E16" i="39"/>
  <c r="M16" i="39"/>
  <c r="L26" i="41"/>
  <c r="E26" i="41"/>
  <c r="E9" i="40"/>
  <c r="L9" i="40"/>
  <c r="E9" i="41"/>
  <c r="L9" i="41"/>
  <c r="L10" i="41"/>
  <c r="E10" i="41"/>
  <c r="L10" i="40"/>
  <c r="E10" i="40"/>
  <c r="E15" i="41"/>
  <c r="E15" i="40"/>
  <c r="L15" i="41"/>
  <c r="L15" i="40"/>
  <c r="E25" i="41"/>
  <c r="L25" i="41"/>
  <c r="E30" i="40"/>
  <c r="L30" i="41"/>
  <c r="E30" i="41"/>
  <c r="L30" i="40"/>
  <c r="E36" i="40"/>
  <c r="L36" i="40"/>
  <c r="L20" i="40"/>
  <c r="E20" i="40"/>
  <c r="L33" i="40"/>
  <c r="E33" i="40"/>
  <c r="L12" i="41"/>
  <c r="E12" i="40"/>
  <c r="L12" i="40"/>
  <c r="E12" i="41"/>
  <c r="E13" i="41"/>
  <c r="L13" i="41"/>
  <c r="E13" i="40"/>
  <c r="L13" i="40"/>
  <c r="L14" i="41"/>
  <c r="E14" i="41"/>
  <c r="L14" i="40"/>
  <c r="E14" i="40"/>
  <c r="L19" i="40"/>
  <c r="E19" i="41"/>
  <c r="E19" i="40"/>
  <c r="L19" i="41"/>
  <c r="L29" i="40"/>
  <c r="E29" i="40"/>
  <c r="E29" i="41"/>
  <c r="L29" i="41"/>
  <c r="L21" i="22"/>
  <c r="M25" i="23"/>
  <c r="E21" i="22"/>
  <c r="F25" i="23"/>
  <c r="F10" i="26"/>
  <c r="M10" i="26"/>
  <c r="F15" i="23"/>
  <c r="E11" i="22"/>
  <c r="L11" i="22"/>
  <c r="M15" i="23"/>
  <c r="F35" i="23"/>
  <c r="M17" i="18"/>
  <c r="M35" i="23"/>
  <c r="F16" i="18"/>
  <c r="L27" i="22"/>
  <c r="F26" i="26"/>
  <c r="M26" i="26"/>
  <c r="E27" i="22"/>
  <c r="F32" i="18"/>
  <c r="M33" i="18"/>
  <c r="M69" i="18"/>
  <c r="F68" i="18"/>
  <c r="M29" i="26"/>
  <c r="F29" i="26"/>
  <c r="E30" i="22"/>
  <c r="M36" i="18"/>
  <c r="L30" i="22"/>
  <c r="F35" i="18"/>
  <c r="M49" i="18"/>
  <c r="F48" i="18"/>
  <c r="F69" i="18"/>
  <c r="M16" i="6"/>
  <c r="M35" i="6"/>
  <c r="M8" i="26"/>
  <c r="F8" i="26"/>
  <c r="M13" i="23"/>
  <c r="L9" i="22"/>
  <c r="F13" i="23"/>
  <c r="F14" i="18"/>
  <c r="F33" i="23"/>
  <c r="L36" i="22"/>
  <c r="M14" i="18"/>
  <c r="M33" i="23"/>
  <c r="E9" i="22"/>
  <c r="M14" i="26"/>
  <c r="F14" i="26"/>
  <c r="M21" i="18"/>
  <c r="M39" i="23"/>
  <c r="M19" i="23"/>
  <c r="E15" i="22"/>
  <c r="L15" i="22"/>
  <c r="F39" i="23"/>
  <c r="F19" i="23"/>
  <c r="F20" i="18"/>
  <c r="M23" i="26"/>
  <c r="L32" i="22"/>
  <c r="E32" i="22"/>
  <c r="F37" i="18"/>
  <c r="M38" i="18"/>
  <c r="L38" i="22"/>
  <c r="E38" i="22"/>
  <c r="E37" i="22"/>
  <c r="L37" i="22"/>
  <c r="F52" i="18"/>
  <c r="M53" i="18"/>
  <c r="E36" i="22"/>
  <c r="M54" i="6"/>
  <c r="M18" i="5"/>
  <c r="M14" i="2"/>
  <c r="M11" i="26"/>
  <c r="F11" i="26"/>
  <c r="E12" i="22"/>
  <c r="M36" i="23"/>
  <c r="M16" i="23"/>
  <c r="M18" i="18"/>
  <c r="F16" i="23"/>
  <c r="F36" i="23"/>
  <c r="L12" i="22"/>
  <c r="F17" i="18"/>
  <c r="M12" i="26"/>
  <c r="F12" i="26"/>
  <c r="M17" i="23"/>
  <c r="M19" i="18"/>
  <c r="E13" i="22"/>
  <c r="F17" i="23"/>
  <c r="M37" i="23"/>
  <c r="F37" i="23"/>
  <c r="F18" i="18"/>
  <c r="L13" i="22"/>
  <c r="F13" i="26"/>
  <c r="M13" i="26"/>
  <c r="M38" i="23"/>
  <c r="M20" i="18"/>
  <c r="E14" i="22"/>
  <c r="F38" i="23"/>
  <c r="M18" i="23"/>
  <c r="F18" i="23"/>
  <c r="L14" i="22"/>
  <c r="F19" i="18"/>
  <c r="M23" i="23"/>
  <c r="F24" i="18"/>
  <c r="F23" i="23"/>
  <c r="L19" i="22"/>
  <c r="E19" i="22"/>
  <c r="F43" i="23"/>
  <c r="M43" i="23"/>
  <c r="F27" i="26"/>
  <c r="M27" i="26"/>
  <c r="F33" i="18"/>
  <c r="L28" i="22"/>
  <c r="M34" i="18"/>
  <c r="E28" i="22"/>
  <c r="F53" i="18"/>
  <c r="M54" i="18"/>
  <c r="F50" i="18"/>
  <c r="M51" i="18"/>
  <c r="M47" i="18"/>
  <c r="M48" i="18"/>
  <c r="F47" i="18"/>
  <c r="F49" i="18"/>
  <c r="M50" i="18"/>
  <c r="M46" i="18"/>
  <c r="L42" i="22"/>
  <c r="F46" i="18"/>
  <c r="E35" i="22"/>
  <c r="L35" i="22"/>
  <c r="F40" i="18"/>
  <c r="F56" i="18"/>
  <c r="F63" i="18"/>
  <c r="M63" i="18"/>
  <c r="M44" i="23"/>
  <c r="L20" i="22"/>
  <c r="F24" i="23"/>
  <c r="E20" i="22"/>
  <c r="M24" i="23"/>
  <c r="F24" i="26"/>
  <c r="M24" i="26"/>
  <c r="F30" i="18"/>
  <c r="M30" i="18"/>
  <c r="L34" i="22"/>
  <c r="E34" i="22"/>
  <c r="M40" i="18"/>
  <c r="F39" i="18"/>
  <c r="E33" i="22"/>
  <c r="L33" i="22"/>
  <c r="M39" i="18"/>
  <c r="F38" i="18"/>
  <c r="M55" i="6"/>
  <c r="M34" i="23"/>
  <c r="L10" i="22"/>
  <c r="M14" i="23"/>
  <c r="F9" i="26"/>
  <c r="M9" i="26"/>
  <c r="F34" i="23"/>
  <c r="F14" i="23"/>
  <c r="E10" i="22"/>
  <c r="F15" i="18"/>
  <c r="M15" i="18"/>
  <c r="M16" i="18"/>
  <c r="F28" i="26"/>
  <c r="M28" i="26"/>
  <c r="M35" i="18"/>
  <c r="E29" i="22"/>
  <c r="F34" i="18"/>
  <c r="L29" i="22"/>
  <c r="L41" i="22"/>
  <c r="E41" i="22"/>
  <c r="E39" i="22"/>
  <c r="L39" i="22"/>
  <c r="F30" i="26"/>
  <c r="M30" i="26"/>
  <c r="L31" i="22"/>
  <c r="E31" i="22"/>
  <c r="F36" i="18"/>
  <c r="M37" i="18"/>
  <c r="M64" i="18"/>
  <c r="F64" i="18"/>
  <c r="M65" i="18"/>
  <c r="M27" i="6"/>
  <c r="M11" i="2"/>
  <c r="E23" i="5"/>
  <c r="M15" i="26"/>
  <c r="F15" i="26"/>
  <c r="F40" i="23"/>
  <c r="E16" i="22"/>
  <c r="M20" i="23"/>
  <c r="F20" i="23"/>
  <c r="L16" i="22"/>
  <c r="F21" i="18"/>
  <c r="M22" i="18"/>
  <c r="M40" i="23"/>
  <c r="G26" i="7"/>
  <c r="L17" i="22"/>
  <c r="M41" i="23"/>
  <c r="F21" i="23"/>
  <c r="M21" i="23"/>
  <c r="M23" i="18"/>
  <c r="E17" i="22"/>
  <c r="F41" i="23"/>
  <c r="F22" i="18"/>
  <c r="L18" i="22"/>
  <c r="M22" i="23"/>
  <c r="M42" i="23"/>
  <c r="M24" i="18"/>
  <c r="F22" i="23"/>
  <c r="F42" i="23"/>
  <c r="E18" i="22"/>
  <c r="F23" i="18"/>
  <c r="F25" i="26"/>
  <c r="M25" i="26"/>
  <c r="F31" i="18"/>
  <c r="M32" i="18"/>
  <c r="M31" i="18"/>
  <c r="F55" i="18"/>
  <c r="M56" i="18"/>
  <c r="F54" i="18"/>
  <c r="M55" i="18"/>
  <c r="F51" i="18"/>
  <c r="M52" i="18"/>
  <c r="E40" i="22"/>
  <c r="L40" i="22"/>
  <c r="M66" i="18"/>
  <c r="F65" i="18"/>
  <c r="M67" i="18"/>
  <c r="F66" i="18"/>
  <c r="M68" i="18"/>
  <c r="F67" i="18"/>
  <c r="M18" i="6"/>
  <c r="M42" i="6"/>
  <c r="M37" i="6"/>
  <c r="M20" i="4"/>
  <c r="M23" i="4"/>
  <c r="E24" i="4"/>
  <c r="E61" i="6"/>
  <c r="M20" i="6"/>
  <c r="M63" i="6"/>
  <c r="M58" i="6"/>
  <c r="M34" i="6"/>
  <c r="E56" i="6"/>
  <c r="M17" i="3"/>
  <c r="E40" i="6"/>
  <c r="M13" i="4"/>
  <c r="E20" i="5"/>
  <c r="E43" i="6"/>
  <c r="E38" i="6"/>
  <c r="M17" i="6"/>
  <c r="M57" i="6"/>
  <c r="M25" i="6"/>
  <c r="M45" i="6"/>
  <c r="M28" i="6"/>
  <c r="E18" i="6"/>
  <c r="M25" i="4"/>
  <c r="E26" i="6"/>
  <c r="M23" i="3"/>
  <c r="E28" i="6"/>
  <c r="E16" i="2"/>
  <c r="M10" i="2"/>
  <c r="E10" i="2"/>
  <c r="E14" i="3"/>
  <c r="E11" i="2"/>
  <c r="M16" i="5"/>
  <c r="M17" i="4"/>
  <c r="E19" i="6"/>
  <c r="E47" i="6"/>
  <c r="E21" i="4"/>
  <c r="M17" i="2"/>
  <c r="E35" i="6"/>
  <c r="E58" i="6"/>
  <c r="E16" i="4"/>
  <c r="M26" i="3"/>
  <c r="E12" i="2"/>
  <c r="E17" i="2"/>
  <c r="E15" i="3"/>
  <c r="E16" i="3"/>
  <c r="M18" i="3"/>
  <c r="M19" i="4"/>
  <c r="M17" i="5"/>
  <c r="E24" i="6"/>
  <c r="E17" i="6"/>
  <c r="E55" i="6"/>
  <c r="E19" i="4"/>
  <c r="M19" i="2"/>
  <c r="M21" i="3"/>
  <c r="M14" i="4"/>
  <c r="M24" i="4"/>
  <c r="M22" i="5"/>
  <c r="E41" i="6"/>
  <c r="E64" i="6"/>
  <c r="M12" i="2"/>
  <c r="M13" i="5"/>
  <c r="M24" i="6"/>
  <c r="M41" i="6"/>
  <c r="M56" i="6"/>
  <c r="M64" i="6"/>
  <c r="M38" i="6"/>
  <c r="M46" i="6"/>
  <c r="M61" i="6"/>
  <c r="M21" i="6"/>
  <c r="M22" i="6"/>
  <c r="E22" i="5"/>
  <c r="E15" i="5"/>
  <c r="E14" i="2"/>
  <c r="E34" i="6"/>
  <c r="E57" i="6"/>
  <c r="M12" i="3"/>
  <c r="E62" i="6"/>
  <c r="M12" i="4"/>
  <c r="E13" i="2"/>
  <c r="M13" i="3"/>
  <c r="M21" i="4"/>
  <c r="M19" i="5"/>
  <c r="E36" i="6"/>
  <c r="E15" i="4"/>
  <c r="M19" i="3"/>
  <c r="M18" i="4"/>
  <c r="E27" i="6"/>
  <c r="E22" i="4"/>
  <c r="M15" i="3"/>
  <c r="E16" i="5"/>
  <c r="E22" i="3"/>
  <c r="E15" i="2"/>
  <c r="E13" i="3"/>
  <c r="E17" i="5"/>
  <c r="E23" i="6"/>
  <c r="E42" i="6"/>
  <c r="E13" i="4"/>
  <c r="M13" i="2"/>
  <c r="E22" i="6"/>
  <c r="E54" i="6"/>
  <c r="E20" i="4"/>
  <c r="M18" i="2"/>
  <c r="E18" i="2"/>
  <c r="M22" i="3"/>
  <c r="E19" i="3"/>
  <c r="E12" i="3"/>
  <c r="M20" i="3"/>
  <c r="M16" i="4"/>
  <c r="M14" i="5"/>
  <c r="M23" i="5"/>
  <c r="E21" i="6"/>
  <c r="E45" i="6"/>
  <c r="E23" i="4"/>
  <c r="M15" i="2"/>
  <c r="M14" i="3"/>
  <c r="M22" i="4"/>
  <c r="M20" i="5"/>
  <c r="E37" i="6"/>
  <c r="E60" i="6"/>
  <c r="E14" i="4"/>
  <c r="M24" i="3"/>
  <c r="M26" i="6"/>
  <c r="M39" i="6"/>
  <c r="M47" i="6"/>
  <c r="M62" i="6"/>
  <c r="M36" i="6"/>
  <c r="M44" i="6"/>
  <c r="M59" i="6"/>
  <c r="M23" i="6"/>
  <c r="E15" i="6"/>
  <c r="E21" i="5"/>
  <c r="E21" i="3"/>
  <c r="E20" i="6"/>
  <c r="E17" i="4"/>
  <c r="E39" i="6"/>
  <c r="E14" i="5"/>
  <c r="E18" i="3"/>
  <c r="M15" i="4"/>
  <c r="M16" i="3"/>
  <c r="E16" i="6"/>
  <c r="E59" i="6"/>
  <c r="M25" i="3"/>
  <c r="M15" i="5"/>
  <c r="E46" i="6"/>
  <c r="M16" i="2"/>
  <c r="M15" i="6"/>
  <c r="M65" i="6"/>
  <c r="M60" i="6"/>
  <c r="E18" i="4"/>
  <c r="E63" i="6"/>
  <c r="E23" i="3"/>
  <c r="E17" i="3"/>
  <c r="M40" i="6"/>
  <c r="E19" i="2"/>
  <c r="G21" i="7"/>
  <c r="N21" i="7"/>
  <c r="G35" i="7"/>
  <c r="N35" i="7"/>
  <c r="N25" i="7"/>
  <c r="G25" i="7"/>
  <c r="N39" i="7"/>
  <c r="N32" i="7"/>
  <c r="G32" i="7"/>
  <c r="G18" i="7"/>
  <c r="N18" i="7"/>
  <c r="G22" i="7"/>
  <c r="G36" i="7"/>
  <c r="N36" i="7"/>
  <c r="N22" i="7"/>
  <c r="G33" i="7"/>
  <c r="N19" i="7"/>
  <c r="N33" i="7"/>
  <c r="G19" i="7"/>
  <c r="G23" i="7"/>
  <c r="N37" i="7"/>
  <c r="G37" i="7"/>
  <c r="N23" i="7"/>
  <c r="G34" i="7"/>
  <c r="N34" i="7"/>
  <c r="G20" i="7"/>
  <c r="N20" i="7"/>
  <c r="G38" i="7"/>
  <c r="N38" i="7"/>
  <c r="G24" i="7"/>
  <c r="N24" i="7"/>
</calcChain>
</file>

<file path=xl/sharedStrings.xml><?xml version="1.0" encoding="utf-8"?>
<sst xmlns="http://schemas.openxmlformats.org/spreadsheetml/2006/main" count="2250" uniqueCount="267">
  <si>
    <t>D 2013-33</t>
  </si>
  <si>
    <t xml:space="preserve">MAJORÉS </t>
  </si>
  <si>
    <t xml:space="preserve">BRUTS </t>
  </si>
  <si>
    <t xml:space="preserve">du 1er janvier 2013 </t>
  </si>
  <si>
    <t>TRAITEMENTS ET SOLDES ANNUELS BRUTS</t>
  </si>
  <si>
    <t>(en euros)</t>
  </si>
  <si>
    <t>Chevrons</t>
  </si>
  <si>
    <t>I</t>
  </si>
  <si>
    <t>II</t>
  </si>
  <si>
    <t>III</t>
  </si>
  <si>
    <t>HEA</t>
  </si>
  <si>
    <t>HEB</t>
  </si>
  <si>
    <t>HEBbis</t>
  </si>
  <si>
    <t>HEC</t>
  </si>
  <si>
    <t>HED</t>
  </si>
  <si>
    <t>HEE</t>
  </si>
  <si>
    <t>HEF</t>
  </si>
  <si>
    <t>HEG</t>
  </si>
  <si>
    <t>HEA1</t>
  </si>
  <si>
    <t>HEA2</t>
  </si>
  <si>
    <t>HEA3</t>
  </si>
  <si>
    <t>HEB1</t>
  </si>
  <si>
    <t>HEB2</t>
  </si>
  <si>
    <t>HEB3</t>
  </si>
  <si>
    <t>HEBbis1</t>
  </si>
  <si>
    <t>HEBbis2</t>
  </si>
  <si>
    <t>HEBbis3</t>
  </si>
  <si>
    <t>HEC1</t>
  </si>
  <si>
    <t>HEC2</t>
  </si>
  <si>
    <t>HEC3</t>
  </si>
  <si>
    <t>HED1</t>
  </si>
  <si>
    <t>HED2</t>
  </si>
  <si>
    <t>HED3</t>
  </si>
  <si>
    <t>HEE1</t>
  </si>
  <si>
    <t>HEE2</t>
  </si>
  <si>
    <t>valeur du point</t>
  </si>
  <si>
    <t>PT ANNUEL:</t>
  </si>
  <si>
    <t>ECHELON</t>
  </si>
  <si>
    <t>DUREE</t>
  </si>
  <si>
    <t>INDICE</t>
  </si>
  <si>
    <t>SALAIRE</t>
  </si>
  <si>
    <t>MAJORE</t>
  </si>
  <si>
    <t>DE BASE</t>
  </si>
  <si>
    <t>BRUT</t>
  </si>
  <si>
    <t>1 an</t>
  </si>
  <si>
    <t>2 ans</t>
  </si>
  <si>
    <t>3 ans</t>
  </si>
  <si>
    <t>4 ans</t>
  </si>
  <si>
    <t>2e grade</t>
  </si>
  <si>
    <t>3e grade</t>
  </si>
  <si>
    <t>CLASSE NORMALE</t>
  </si>
  <si>
    <t>CLASSE SUPERIEURE</t>
  </si>
  <si>
    <t>Echelle 3</t>
  </si>
  <si>
    <t>Echelle 4</t>
  </si>
  <si>
    <t>Echelle 5</t>
  </si>
  <si>
    <t>Echelle 6</t>
  </si>
  <si>
    <t>AA</t>
  </si>
  <si>
    <t>SA</t>
  </si>
  <si>
    <t>2/3 AA</t>
  </si>
  <si>
    <t>3/4 AA</t>
  </si>
  <si>
    <t>2 AA</t>
  </si>
  <si>
    <t>1/2 AA+1a</t>
  </si>
  <si>
    <t>&lt;18 mois</t>
  </si>
  <si>
    <t>&gt;18 mois</t>
  </si>
  <si>
    <t>4/3 AA</t>
  </si>
  <si>
    <t>1er grade</t>
  </si>
  <si>
    <t>&lt;3 ans</t>
  </si>
  <si>
    <t>&gt;3 ans</t>
  </si>
  <si>
    <t>4/3 AA &gt;18 m</t>
  </si>
  <si>
    <t>&gt; 1an</t>
  </si>
  <si>
    <t>&lt; 1an</t>
  </si>
  <si>
    <t>3 AA</t>
  </si>
  <si>
    <t>AA&gt;1an</t>
  </si>
  <si>
    <t>1/2 AA</t>
  </si>
  <si>
    <t>B3</t>
  </si>
  <si>
    <t>durée retenue 1/2 AA</t>
  </si>
  <si>
    <t>durée retenue 3/4 AA</t>
  </si>
  <si>
    <t>durée retenue 2/3 AA</t>
  </si>
  <si>
    <t>durée retenue 4/3 AA</t>
  </si>
  <si>
    <t>DATE dans l'échelon</t>
  </si>
  <si>
    <t>Durée en mois</t>
  </si>
  <si>
    <t>ans</t>
  </si>
  <si>
    <t>mois</t>
  </si>
  <si>
    <t>jours</t>
  </si>
  <si>
    <t>date d'effet reclassement</t>
  </si>
  <si>
    <t>durée retenue 3/2 AA</t>
  </si>
  <si>
    <t>Echelle C1 / 2017</t>
  </si>
  <si>
    <t>Echelle C2 / 2017</t>
  </si>
  <si>
    <t>Echelle C3 / 2017</t>
  </si>
  <si>
    <t>2 ans 6 mois</t>
  </si>
  <si>
    <t>durée retenue 5/4 AA</t>
  </si>
  <si>
    <t>durée retenue 5/6 AA</t>
  </si>
  <si>
    <t>durée retenue 2/3 AA au-delà de 6 mois</t>
  </si>
  <si>
    <t>durée retenue 4/3 AA au-delà de 6 mois</t>
  </si>
  <si>
    <t>durée retenue 5/3 AA au-delà de 1 an 6 mois</t>
  </si>
  <si>
    <t>durée retenue 8/3 AA au-delà de 1 an 6 mois</t>
  </si>
  <si>
    <t>durée retenue 5/4 AA au-delà de 2 ans</t>
  </si>
  <si>
    <t>gain</t>
  </si>
  <si>
    <t>ind</t>
  </si>
  <si>
    <t>anc</t>
  </si>
  <si>
    <t>D 88-1077</t>
  </si>
  <si>
    <t>ISGS</t>
  </si>
  <si>
    <t>D 2010-1139</t>
  </si>
  <si>
    <t>IBODE - PUER</t>
  </si>
  <si>
    <t>IADE</t>
  </si>
  <si>
    <t>4e grade</t>
  </si>
  <si>
    <t>ISG</t>
  </si>
  <si>
    <t xml:space="preserve">Indice Brut </t>
  </si>
  <si>
    <t>IBODE</t>
  </si>
  <si>
    <t>PUER</t>
  </si>
  <si>
    <t>1/2AA</t>
  </si>
  <si>
    <t>RECL</t>
  </si>
  <si>
    <t>3 AA&gt;3ans</t>
  </si>
  <si>
    <t>NES / 01/01/2017</t>
  </si>
  <si>
    <t xml:space="preserve">1er grade </t>
  </si>
  <si>
    <t xml:space="preserve">B1 </t>
  </si>
  <si>
    <t xml:space="preserve">2e grade </t>
  </si>
  <si>
    <t xml:space="preserve">B2 </t>
  </si>
  <si>
    <t>NES / 01/01/2016</t>
  </si>
  <si>
    <t>ASSISTANT SOCIO EDUCATIF</t>
  </si>
  <si>
    <t xml:space="preserve">ASE </t>
  </si>
  <si>
    <t>ASE Princ</t>
  </si>
  <si>
    <t>CONSEILLER EN ECONOMIE SOCIALE ET FAMILIALE</t>
  </si>
  <si>
    <t>EDUCATEUR DE JEUNES ENFANTS</t>
  </si>
  <si>
    <t>EDUCATEUR TECHNIQUE SPECIALISE</t>
  </si>
  <si>
    <t>Classe normale</t>
  </si>
  <si>
    <t>CONSEILLER EN ECONOMIE SOCIALE ET FAMILIALE PRINCIPAL</t>
  </si>
  <si>
    <t>EDUCATEUR DE JEUNES ENFANTS Classe supérieure</t>
  </si>
  <si>
    <t>EDUCATEUR TECHNIQUE SPECIALISE classe supérieure</t>
  </si>
  <si>
    <t>Classe supérieure</t>
  </si>
  <si>
    <t>3a 6m</t>
  </si>
  <si>
    <t>7/6 AA</t>
  </si>
  <si>
    <t>durée retenue 7/6 AA</t>
  </si>
  <si>
    <t>ISG-Ergo</t>
  </si>
  <si>
    <t>D 2007-839</t>
  </si>
  <si>
    <t>arrêté du 11 mai 2007</t>
  </si>
  <si>
    <t>CADRE SOCIO EDUCATIF</t>
  </si>
  <si>
    <t>CADRE SUPERIEUR SOCIO EDUCATIF</t>
  </si>
  <si>
    <t>durée retenue  AA x 2</t>
  </si>
  <si>
    <t>durée retenue AA au-delà de 1 an</t>
  </si>
  <si>
    <t>durée retenue  AA au-delà de 2 ans</t>
  </si>
  <si>
    <t>durée retenue 6/7AA</t>
  </si>
  <si>
    <t xml:space="preserve">durée retenue 1/3 AA </t>
  </si>
  <si>
    <t>1° Le corps des pédicures-podologues ;</t>
  </si>
  <si>
    <t>2° Le corps des masseurs-kinésithérapeutes ;</t>
  </si>
  <si>
    <t>4° Le corps des psychomotriciens ;</t>
  </si>
  <si>
    <t>5° Le corps des orthophonistes ;</t>
  </si>
  <si>
    <t>6° Le corps des orthoptistes ;</t>
  </si>
  <si>
    <t>7° Le corps des diététiciens.</t>
  </si>
  <si>
    <t>Adjoints des cadres hospitaliers ;</t>
  </si>
  <si>
    <t>Assistants médico-administratifs ;</t>
  </si>
  <si>
    <t xml:space="preserve">Techniciens et techniciens supérieurs hospitaliers </t>
  </si>
  <si>
    <t>Animateur</t>
  </si>
  <si>
    <t>Moniteur éducateur</t>
  </si>
  <si>
    <t>1° Le corps des préparateurs en pharmacie hospitalière ;</t>
  </si>
  <si>
    <t>2° Le corps des techniciens de laboratoire médical ;</t>
  </si>
  <si>
    <t>3° Le corps des manipulateurs d'électroradiologie médicale</t>
  </si>
  <si>
    <t>D 2011-661</t>
  </si>
  <si>
    <t>D 2014-99</t>
  </si>
  <si>
    <t>D 2014-102</t>
  </si>
  <si>
    <t>D 2011-746</t>
  </si>
  <si>
    <t>D 2011-748</t>
  </si>
  <si>
    <t>ERGO</t>
  </si>
  <si>
    <t>D 2015-1048</t>
  </si>
  <si>
    <t>durée retenue 3xAA au-delà de 3 ans</t>
  </si>
  <si>
    <t>Ancienneté dans l'échelon</t>
  </si>
  <si>
    <t>date d'ancienneté dans le nouvel échelon</t>
  </si>
  <si>
    <t>durée retenue  AA x 3</t>
  </si>
  <si>
    <t>1 prov</t>
  </si>
  <si>
    <t>2 prov</t>
  </si>
  <si>
    <t>3 prov</t>
  </si>
  <si>
    <t>4 provi</t>
  </si>
  <si>
    <t>durée retenue 4/3 AA au-delà de 1 an 6 mois</t>
  </si>
  <si>
    <t>Reclassement date d'effet 1er janvier 2017</t>
  </si>
  <si>
    <t>Indice 100</t>
  </si>
  <si>
    <t>D 2016+670 du 25 mai 2016</t>
  </si>
  <si>
    <t>D 2016-670</t>
  </si>
  <si>
    <t>1er juillet 2016</t>
  </si>
  <si>
    <t xml:space="preserve">Groupes </t>
  </si>
  <si>
    <t xml:space="preserve">Chevrons </t>
  </si>
  <si>
    <t xml:space="preserve">I </t>
  </si>
  <si>
    <t xml:space="preserve">II </t>
  </si>
  <si>
    <t xml:space="preserve">III </t>
  </si>
  <si>
    <t xml:space="preserve">A </t>
  </si>
  <si>
    <t xml:space="preserve">B </t>
  </si>
  <si>
    <t xml:space="preserve">B bis </t>
  </si>
  <si>
    <t xml:space="preserve">C </t>
  </si>
  <si>
    <t xml:space="preserve">D </t>
  </si>
  <si>
    <t xml:space="preserve">E </t>
  </si>
  <si>
    <t xml:space="preserve">F </t>
  </si>
  <si>
    <t xml:space="preserve">G </t>
  </si>
  <si>
    <r>
      <t>si vrai : date en vert / si faux :</t>
    </r>
    <r>
      <rPr>
        <b/>
        <sz val="16"/>
        <color theme="1"/>
        <rFont val="Calibri"/>
        <family val="2"/>
        <scheme val="minor"/>
      </rPr>
      <t xml:space="preserve"> 01/01/2017</t>
    </r>
  </si>
  <si>
    <t xml:space="preserve">D 2014-101       </t>
  </si>
  <si>
    <t>Ergo</t>
  </si>
  <si>
    <t xml:space="preserve">le tableau indique la position dans l'ancienne grille, </t>
  </si>
  <si>
    <t xml:space="preserve">puis l'ancienneté retenue pour le reclassement, </t>
  </si>
  <si>
    <t xml:space="preserve">la position dans la nouvelle grille </t>
  </si>
  <si>
    <t>et enfin l'ancienneté dans la nouvelle grille,</t>
  </si>
  <si>
    <t>le tableau se lit à l'horizontale</t>
  </si>
  <si>
    <t>Mode d'emploi du tableau de reclassement au 1er janvier 2017</t>
  </si>
  <si>
    <t>D 2016-636 Article 15</t>
  </si>
  <si>
    <t>D 2016-636 Article 16</t>
  </si>
  <si>
    <t>D 2016-636 Article 18</t>
  </si>
  <si>
    <t>D 2016-636 Article 17</t>
  </si>
  <si>
    <t>D 2016-637 Article 6</t>
  </si>
  <si>
    <t>D 2016-638 Article 5 / Reeduc - Med Tech</t>
  </si>
  <si>
    <t>D 2016-640 Article 3 / IDE Cat B</t>
  </si>
  <si>
    <t>D 2016-635 Article 10</t>
  </si>
  <si>
    <t>D 2016-635 Article 9</t>
  </si>
  <si>
    <t>D 2016-639  Art 7 ISGS / Art 8 Ergo</t>
  </si>
  <si>
    <t>D 2016-634 Article 5</t>
  </si>
  <si>
    <t>Référence du décret de reclassement</t>
  </si>
  <si>
    <t>OPQ</t>
  </si>
  <si>
    <t>AS Cl Normale</t>
  </si>
  <si>
    <t>Adj Adm 1e C</t>
  </si>
  <si>
    <t>Maître Ouvrier</t>
  </si>
  <si>
    <t>AS Cl Supérieure</t>
  </si>
  <si>
    <t>Adj Adm Princ 2e C</t>
  </si>
  <si>
    <t>MO Principal</t>
  </si>
  <si>
    <t>AS Cl Exceptionnelle</t>
  </si>
  <si>
    <t>Adj Adm Princ 1e C</t>
  </si>
  <si>
    <t>D 2014-100</t>
  </si>
  <si>
    <t>D 91-45 - AEQ</t>
  </si>
  <si>
    <t>D 90-839 - Adj Adm 2e C</t>
  </si>
  <si>
    <t>1 an 6 mois</t>
  </si>
  <si>
    <t>6/5AA</t>
  </si>
  <si>
    <t>8/5AA</t>
  </si>
  <si>
    <t>AA+1a</t>
  </si>
  <si>
    <t>durée retenue 6/5 AA</t>
  </si>
  <si>
    <t>durée retenue 8/5 AA</t>
  </si>
  <si>
    <t>Attaché d'Aministration Hospitalière</t>
  </si>
  <si>
    <t>D ------2016 Article 7</t>
  </si>
  <si>
    <t>Sages Femmes Hospitalières</t>
  </si>
  <si>
    <t>3/2AA</t>
  </si>
  <si>
    <t>1an 6m</t>
  </si>
  <si>
    <t>(         )</t>
  </si>
  <si>
    <t>ASHQ CN</t>
  </si>
  <si>
    <t>D 2007-11888 - ASHQ CN</t>
  </si>
  <si>
    <t>Adjoint Administratif</t>
  </si>
  <si>
    <t>Dessinateur</t>
  </si>
  <si>
    <t>Cond Amb 2e Cat</t>
  </si>
  <si>
    <t>Dessinateur (Cadre ext)</t>
  </si>
  <si>
    <t>Conducteur Ambulancier</t>
  </si>
  <si>
    <t>ASHQ CS</t>
  </si>
  <si>
    <t>Aide Soignant</t>
  </si>
  <si>
    <t>Dess Chef de Groupe</t>
  </si>
  <si>
    <t>Cond Amb 1er Cat</t>
  </si>
  <si>
    <t>dessinateur (cadre ext)</t>
  </si>
  <si>
    <t>Adj Adm Princ 2eCl</t>
  </si>
  <si>
    <t>Dessinateur Principal</t>
  </si>
  <si>
    <t>Cond Amb Hors Cat</t>
  </si>
  <si>
    <t>Dessinateur Princ (Cadre ext)</t>
  </si>
  <si>
    <t>Cond Amb Princ</t>
  </si>
  <si>
    <t>Aide Soignant Principal</t>
  </si>
  <si>
    <t>Adj Adm Princ 1ere Cl</t>
  </si>
  <si>
    <r>
      <rPr>
        <b/>
        <sz val="24"/>
        <color theme="1"/>
        <rFont val="Calibri"/>
        <family val="2"/>
        <scheme val="minor"/>
      </rPr>
      <t xml:space="preserve">1) </t>
    </r>
    <r>
      <rPr>
        <sz val="18"/>
        <color theme="1"/>
        <rFont val="Calibri"/>
        <family val="2"/>
        <scheme val="minor"/>
      </rPr>
      <t>Choisir, en bas de page, l'onglet qui correspond au grade de l'agent</t>
    </r>
  </si>
  <si>
    <r>
      <rPr>
        <b/>
        <sz val="24"/>
        <color theme="1"/>
        <rFont val="Calibri"/>
        <family val="2"/>
        <scheme val="minor"/>
      </rPr>
      <t>2)</t>
    </r>
    <r>
      <rPr>
        <sz val="18"/>
        <color theme="1"/>
        <rFont val="Calibri"/>
        <family val="2"/>
        <scheme val="minor"/>
      </rPr>
      <t xml:space="preserve"> il suffit d'entrer dans la case en jaune la date d'ancienneté que l'agent détient dans son échelon avant reclassement</t>
    </r>
  </si>
  <si>
    <r>
      <rPr>
        <b/>
        <sz val="24"/>
        <color theme="1"/>
        <rFont val="Calibri"/>
        <family val="2"/>
        <scheme val="minor"/>
      </rPr>
      <t>3)</t>
    </r>
    <r>
      <rPr>
        <sz val="18"/>
        <color theme="1"/>
        <rFont val="Calibri"/>
        <family val="2"/>
        <scheme val="minor"/>
      </rPr>
      <t xml:space="preserve"> il suffit ensuite de regarder sur le tableau la date qui s'affiche sur fond vert, compte tenu du nouvel échelon détenu</t>
    </r>
  </si>
  <si>
    <t>Exemple : échelle 3 - C1</t>
  </si>
  <si>
    <t>Agent de Maîtrise</t>
  </si>
  <si>
    <t>Agent de Maîtrise Princ</t>
  </si>
  <si>
    <r>
      <t xml:space="preserve">3° Le corps des ergothérapeutes </t>
    </r>
    <r>
      <rPr>
        <i/>
        <sz val="12"/>
        <color rgb="FFFF0000"/>
        <rFont val="Calibri"/>
        <family val="2"/>
        <scheme val="minor"/>
      </rPr>
      <t>(</t>
    </r>
    <r>
      <rPr>
        <b/>
        <i/>
        <u/>
        <sz val="12"/>
        <color rgb="FFFF0000"/>
        <rFont val="Calibri"/>
        <family val="2"/>
        <scheme val="minor"/>
      </rPr>
      <t>cadre extinction</t>
    </r>
    <r>
      <rPr>
        <i/>
        <sz val="12"/>
        <color rgb="FFFF0000"/>
        <rFont val="Calibri"/>
        <family val="2"/>
        <scheme val="minor"/>
      </rPr>
      <t>)</t>
    </r>
  </si>
  <si>
    <r>
      <t xml:space="preserve">Le corps des IDE catégorie B </t>
    </r>
    <r>
      <rPr>
        <b/>
        <i/>
        <u/>
        <sz val="12"/>
        <color rgb="FFFF0000"/>
        <rFont val="Calibri"/>
        <family val="2"/>
        <scheme val="minor"/>
      </rPr>
      <t>(cadre extinction)</t>
    </r>
  </si>
  <si>
    <t>AEQ</t>
  </si>
  <si>
    <t>Ouvrier Princ 2e Cl</t>
  </si>
  <si>
    <t>Adjoint Administratif de 2e Classe</t>
  </si>
  <si>
    <t>Ouvrier Princ 1ere 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</si>
</sst>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General_)"/>
    <numFmt numFmtId="166" formatCode="0.0000"/>
    <numFmt numFmtId="167" formatCode="#,##0.00\€_);\(#,##0.00\€_)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omic Sans MS"/>
      <family val="4"/>
    </font>
    <font>
      <sz val="10"/>
      <color indexed="10"/>
      <name val="Arial"/>
      <family val="2"/>
    </font>
    <font>
      <sz val="10"/>
      <name val="Times New Roman"/>
      <family val="1"/>
    </font>
    <font>
      <sz val="14"/>
      <name val="Calibri"/>
      <family val="2"/>
    </font>
    <font>
      <sz val="14"/>
      <name val="Calibri"/>
      <family val="2"/>
      <scheme val="minor"/>
    </font>
    <font>
      <sz val="16"/>
      <name val="Arial"/>
      <family val="2"/>
    </font>
    <font>
      <sz val="8"/>
      <name val="Arial"/>
      <family val="2"/>
    </font>
    <font>
      <sz val="6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indexed="9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</font>
    <font>
      <sz val="14"/>
      <name val="Times New Roman"/>
      <family val="1"/>
    </font>
    <font>
      <sz val="16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Times New Roman"/>
      <family val="1"/>
    </font>
    <font>
      <sz val="20"/>
      <name val="Times New Roman"/>
      <family val="1"/>
    </font>
    <font>
      <sz val="12"/>
      <color theme="1"/>
      <name val="Arial"/>
      <family val="2"/>
    </font>
    <font>
      <sz val="14"/>
      <name val="Arial"/>
      <family val="2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2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6" fillId="0" borderId="0" applyFont="0" applyFill="0" applyBorder="0" applyAlignment="0" applyProtection="0"/>
  </cellStyleXfs>
  <cellXfs count="44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0" xfId="0" applyBorder="1"/>
    <xf numFmtId="0" fontId="0" fillId="0" borderId="14" xfId="0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/>
    <xf numFmtId="1" fontId="0" fillId="0" borderId="15" xfId="0" applyNumberFormat="1" applyBorder="1"/>
    <xf numFmtId="1" fontId="0" fillId="0" borderId="17" xfId="0" applyNumberFormat="1" applyBorder="1"/>
    <xf numFmtId="1" fontId="0" fillId="0" borderId="0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0" fillId="0" borderId="20" xfId="0" applyBorder="1"/>
    <xf numFmtId="1" fontId="0" fillId="0" borderId="21" xfId="0" applyNumberFormat="1" applyBorder="1"/>
    <xf numFmtId="0" fontId="0" fillId="0" borderId="21" xfId="0" applyBorder="1"/>
    <xf numFmtId="0" fontId="5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6" fillId="0" borderId="8" xfId="0" applyFont="1" applyBorder="1"/>
    <xf numFmtId="165" fontId="6" fillId="0" borderId="0" xfId="0" applyNumberFormat="1" applyFont="1" applyBorder="1" applyAlignment="1" applyProtection="1">
      <alignment horizontal="left"/>
    </xf>
    <xf numFmtId="165" fontId="6" fillId="0" borderId="20" xfId="0" applyNumberFormat="1" applyFont="1" applyBorder="1" applyAlignment="1" applyProtection="1">
      <alignment horizontal="left"/>
    </xf>
    <xf numFmtId="165" fontId="6" fillId="0" borderId="21" xfId="0" applyNumberFormat="1" applyFont="1" applyBorder="1" applyProtection="1"/>
    <xf numFmtId="0" fontId="0" fillId="0" borderId="10" xfId="0" applyBorder="1"/>
    <xf numFmtId="166" fontId="7" fillId="2" borderId="22" xfId="0" applyNumberFormat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165" fontId="6" fillId="0" borderId="0" xfId="0" applyNumberFormat="1" applyFont="1" applyFill="1" applyAlignment="1" applyProtection="1">
      <alignment horizontal="left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14" fontId="10" fillId="0" borderId="0" xfId="0" applyNumberFormat="1" applyFont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27" xfId="0" applyFont="1" applyBorder="1" applyAlignment="1">
      <alignment horizontal="center" wrapText="1"/>
    </xf>
    <xf numFmtId="0" fontId="10" fillId="0" borderId="28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14" fontId="10" fillId="4" borderId="29" xfId="0" applyNumberFormat="1" applyFont="1" applyFill="1" applyBorder="1"/>
    <xf numFmtId="0" fontId="10" fillId="7" borderId="30" xfId="0" applyFont="1" applyFill="1" applyBorder="1" applyAlignment="1">
      <alignment horizontal="center"/>
    </xf>
    <xf numFmtId="2" fontId="10" fillId="7" borderId="0" xfId="0" applyNumberFormat="1" applyFont="1" applyFill="1" applyBorder="1" applyAlignment="1">
      <alignment horizontal="center"/>
    </xf>
    <xf numFmtId="0" fontId="10" fillId="0" borderId="0" xfId="0" applyFont="1" applyBorder="1"/>
    <xf numFmtId="1" fontId="10" fillId="0" borderId="31" xfId="0" applyNumberFormat="1" applyFont="1" applyFill="1" applyBorder="1" applyAlignment="1">
      <alignment horizontal="center"/>
    </xf>
    <xf numFmtId="1" fontId="10" fillId="0" borderId="32" xfId="0" applyNumberFormat="1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27" xfId="0" applyFont="1" applyBorder="1"/>
    <xf numFmtId="0" fontId="10" fillId="0" borderId="0" xfId="0" applyFont="1" applyFill="1" applyBorder="1"/>
    <xf numFmtId="14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Border="1"/>
    <xf numFmtId="0" fontId="0" fillId="0" borderId="0" xfId="0" applyFill="1" applyBorder="1"/>
    <xf numFmtId="1" fontId="1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4" fontId="10" fillId="0" borderId="0" xfId="0" applyNumberFormat="1" applyFont="1" applyFill="1" applyBorder="1"/>
    <xf numFmtId="0" fontId="10" fillId="7" borderId="0" xfId="0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25" xfId="0" applyFill="1" applyBorder="1"/>
    <xf numFmtId="0" fontId="0" fillId="0" borderId="26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14" fontId="10" fillId="8" borderId="33" xfId="0" applyNumberFormat="1" applyFont="1" applyFill="1" applyBorder="1" applyAlignment="1">
      <alignment horizontal="center"/>
    </xf>
    <xf numFmtId="14" fontId="10" fillId="8" borderId="3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0" borderId="36" xfId="0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vertical="center"/>
    </xf>
    <xf numFmtId="166" fontId="2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/>
    <xf numFmtId="0" fontId="0" fillId="0" borderId="0" xfId="0" applyNumberFormat="1"/>
    <xf numFmtId="0" fontId="10" fillId="0" borderId="19" xfId="0" applyNumberFormat="1" applyFont="1" applyBorder="1" applyAlignment="1">
      <alignment wrapText="1"/>
    </xf>
    <xf numFmtId="0" fontId="10" fillId="0" borderId="19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8" xfId="0" applyFill="1" applyBorder="1"/>
    <xf numFmtId="165" fontId="0" fillId="0" borderId="0" xfId="0" applyNumberFormat="1"/>
    <xf numFmtId="0" fontId="0" fillId="0" borderId="38" xfId="0" applyBorder="1"/>
    <xf numFmtId="0" fontId="0" fillId="0" borderId="38" xfId="0" applyBorder="1" applyAlignment="1">
      <alignment horizontal="center" vertical="center"/>
    </xf>
    <xf numFmtId="0" fontId="0" fillId="0" borderId="27" xfId="0" applyBorder="1"/>
    <xf numFmtId="0" fontId="0" fillId="0" borderId="36" xfId="0" applyBorder="1" applyAlignment="1">
      <alignment horizontal="center" vertical="center"/>
    </xf>
    <xf numFmtId="0" fontId="0" fillId="0" borderId="40" xfId="0" applyBorder="1"/>
    <xf numFmtId="0" fontId="1" fillId="0" borderId="18" xfId="0" applyFont="1" applyFill="1" applyBorder="1" applyAlignment="1">
      <alignment vertical="center"/>
    </xf>
    <xf numFmtId="164" fontId="14" fillId="0" borderId="0" xfId="0" applyNumberFormat="1" applyFont="1" applyFill="1" applyAlignment="1">
      <alignment horizontal="center" vertical="top"/>
    </xf>
    <xf numFmtId="164" fontId="0" fillId="0" borderId="23" xfId="0" applyNumberFormat="1" applyFill="1" applyBorder="1" applyAlignment="1">
      <alignment horizontal="center" vertical="center"/>
    </xf>
    <xf numFmtId="164" fontId="0" fillId="0" borderId="25" xfId="0" applyNumberFormat="1" applyFill="1" applyBorder="1"/>
    <xf numFmtId="164" fontId="0" fillId="0" borderId="26" xfId="0" applyNumberFormat="1" applyFill="1" applyBorder="1"/>
    <xf numFmtId="164" fontId="0" fillId="0" borderId="0" xfId="0" applyNumberFormat="1" applyFill="1" applyBorder="1"/>
    <xf numFmtId="164" fontId="14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4" fillId="0" borderId="0" xfId="0" applyFont="1" applyFill="1"/>
    <xf numFmtId="165" fontId="24" fillId="0" borderId="0" xfId="0" applyNumberFormat="1" applyFont="1" applyFill="1" applyAlignment="1" applyProtection="1">
      <alignment horizontal="center"/>
    </xf>
    <xf numFmtId="165" fontId="24" fillId="0" borderId="15" xfId="0" applyNumberFormat="1" applyFont="1" applyFill="1" applyBorder="1" applyAlignment="1" applyProtection="1">
      <alignment horizontal="center"/>
    </xf>
    <xf numFmtId="167" fontId="24" fillId="0" borderId="15" xfId="0" applyNumberFormat="1" applyFont="1" applyFill="1" applyBorder="1" applyProtection="1"/>
    <xf numFmtId="0" fontId="24" fillId="0" borderId="15" xfId="0" applyFont="1" applyFill="1" applyBorder="1" applyAlignment="1">
      <alignment horizontal="center"/>
    </xf>
    <xf numFmtId="0" fontId="0" fillId="0" borderId="15" xfId="0" applyFont="1" applyFill="1" applyBorder="1"/>
    <xf numFmtId="165" fontId="24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/>
    <xf numFmtId="0" fontId="24" fillId="0" borderId="0" xfId="0" applyFont="1" applyFill="1" applyAlignment="1">
      <alignment horizontal="center"/>
    </xf>
    <xf numFmtId="0" fontId="24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 applyProtection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15" xfId="0" applyFont="1" applyFill="1" applyBorder="1"/>
    <xf numFmtId="0" fontId="0" fillId="0" borderId="0" xfId="0" applyFont="1" applyFill="1" applyBorder="1"/>
    <xf numFmtId="165" fontId="24" fillId="0" borderId="0" xfId="0" applyNumberFormat="1" applyFont="1" applyFill="1" applyAlignment="1" applyProtection="1">
      <alignment horizontal="left"/>
    </xf>
    <xf numFmtId="0" fontId="0" fillId="0" borderId="0" xfId="0" applyFont="1" applyFill="1" applyBorder="1" applyAlignment="1">
      <alignment horizontal="center" vertical="center"/>
    </xf>
    <xf numFmtId="165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65" fontId="24" fillId="0" borderId="15" xfId="0" applyNumberFormat="1" applyFont="1" applyFill="1" applyBorder="1" applyAlignment="1" applyProtection="1">
      <alignment horizontal="center" vertical="center"/>
    </xf>
    <xf numFmtId="167" fontId="24" fillId="0" borderId="15" xfId="0" applyNumberFormat="1" applyFont="1" applyFill="1" applyBorder="1" applyAlignment="1" applyProtection="1">
      <alignment horizontal="center" vertical="center"/>
    </xf>
    <xf numFmtId="0" fontId="0" fillId="0" borderId="29" xfId="0" applyFont="1" applyFill="1" applyBorder="1"/>
    <xf numFmtId="0" fontId="0" fillId="9" borderId="0" xfId="0" applyFont="1" applyFill="1" applyAlignment="1">
      <alignment horizontal="center" vertical="center"/>
    </xf>
    <xf numFmtId="0" fontId="0" fillId="0" borderId="1" xfId="0" applyFont="1" applyFill="1" applyBorder="1"/>
    <xf numFmtId="0" fontId="0" fillId="0" borderId="3" xfId="0" applyFont="1" applyFill="1" applyBorder="1"/>
    <xf numFmtId="164" fontId="0" fillId="0" borderId="0" xfId="0" applyNumberFormat="1" applyFont="1" applyFill="1"/>
    <xf numFmtId="164" fontId="24" fillId="0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Border="1" applyAlignment="1" applyProtection="1">
      <alignment horizontal="center" vertical="center"/>
    </xf>
    <xf numFmtId="14" fontId="24" fillId="0" borderId="0" xfId="0" applyNumberFormat="1" applyFont="1" applyFill="1" applyBorder="1" applyAlignment="1">
      <alignment horizontal="center" vertical="center"/>
    </xf>
    <xf numFmtId="164" fontId="24" fillId="0" borderId="15" xfId="0" applyNumberFormat="1" applyFont="1" applyFill="1" applyBorder="1" applyProtection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9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7" fontId="24" fillId="0" borderId="15" xfId="0" applyNumberFormat="1" applyFont="1" applyFill="1" applyBorder="1" applyAlignment="1" applyProtection="1">
      <alignment vertical="center"/>
    </xf>
    <xf numFmtId="165" fontId="24" fillId="0" borderId="15" xfId="0" applyNumberFormat="1" applyFont="1" applyFill="1" applyBorder="1" applyAlignment="1" applyProtection="1">
      <alignment horizontal="right"/>
    </xf>
    <xf numFmtId="0" fontId="0" fillId="0" borderId="15" xfId="0" applyFont="1" applyBorder="1"/>
    <xf numFmtId="0" fontId="0" fillId="0" borderId="0" xfId="0" applyFont="1" applyAlignment="1">
      <alignment horizontal="center" vertical="center"/>
    </xf>
    <xf numFmtId="167" fontId="24" fillId="0" borderId="0" xfId="0" applyNumberFormat="1" applyFont="1" applyFill="1"/>
    <xf numFmtId="165" fontId="0" fillId="0" borderId="0" xfId="0" applyNumberFormat="1" applyFont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65" fontId="24" fillId="2" borderId="0" xfId="0" applyNumberFormat="1" applyFont="1" applyFill="1" applyAlignment="1" applyProtection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65" fontId="0" fillId="0" borderId="0" xfId="0" applyNumberFormat="1" applyFont="1" applyFill="1" applyAlignment="1" applyProtection="1">
      <alignment horizontal="center" vertical="center"/>
    </xf>
    <xf numFmtId="167" fontId="0" fillId="0" borderId="15" xfId="0" applyNumberFormat="1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167" fontId="0" fillId="0" borderId="23" xfId="0" applyNumberFormat="1" applyFont="1" applyFill="1" applyBorder="1" applyAlignment="1" applyProtection="1">
      <alignment horizontal="center" vertical="center"/>
    </xf>
    <xf numFmtId="167" fontId="0" fillId="0" borderId="26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165" fontId="0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Fill="1" applyAlignment="1" applyProtection="1">
      <alignment horizontal="center"/>
    </xf>
    <xf numFmtId="0" fontId="24" fillId="0" borderId="0" xfId="0" applyFont="1" applyFill="1" applyBorder="1" applyAlignment="1">
      <alignment horizontal="center"/>
    </xf>
    <xf numFmtId="167" fontId="0" fillId="0" borderId="15" xfId="0" applyNumberFormat="1" applyFont="1" applyFill="1" applyBorder="1" applyProtection="1"/>
    <xf numFmtId="165" fontId="0" fillId="0" borderId="15" xfId="0" applyNumberFormat="1" applyFont="1" applyFill="1" applyBorder="1" applyAlignment="1" applyProtection="1">
      <alignment horizontal="center" vertical="center"/>
    </xf>
    <xf numFmtId="167" fontId="24" fillId="0" borderId="15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5" xfId="0" applyBorder="1"/>
    <xf numFmtId="0" fontId="0" fillId="0" borderId="18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27" fillId="3" borderId="36" xfId="0" applyNumberFormat="1" applyFont="1" applyFill="1" applyBorder="1" applyAlignment="1">
      <alignment horizontal="center" vertical="center"/>
    </xf>
    <xf numFmtId="14" fontId="27" fillId="3" borderId="24" xfId="0" applyNumberFormat="1" applyFont="1" applyFill="1" applyBorder="1" applyAlignment="1">
      <alignment horizontal="center" vertical="center"/>
    </xf>
    <xf numFmtId="165" fontId="28" fillId="0" borderId="15" xfId="0" applyNumberFormat="1" applyFont="1" applyFill="1" applyBorder="1" applyAlignment="1" applyProtection="1">
      <alignment horizontal="center"/>
    </xf>
    <xf numFmtId="165" fontId="28" fillId="0" borderId="15" xfId="0" applyNumberFormat="1" applyFont="1" applyFill="1" applyBorder="1" applyAlignment="1" applyProtection="1">
      <alignment horizontal="center" vertical="center"/>
    </xf>
    <xf numFmtId="14" fontId="27" fillId="3" borderId="0" xfId="0" applyNumberFormat="1" applyFont="1" applyFill="1" applyAlignment="1">
      <alignment horizontal="center" vertical="center"/>
    </xf>
    <xf numFmtId="0" fontId="0" fillId="0" borderId="18" xfId="0" applyFont="1" applyBorder="1"/>
    <xf numFmtId="165" fontId="28" fillId="0" borderId="23" xfId="0" applyNumberFormat="1" applyFont="1" applyFill="1" applyBorder="1" applyAlignment="1" applyProtection="1">
      <alignment horizontal="center" vertical="center"/>
    </xf>
    <xf numFmtId="165" fontId="28" fillId="0" borderId="26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7" fillId="0" borderId="0" xfId="0" applyFont="1" applyFill="1" applyBorder="1"/>
    <xf numFmtId="0" fontId="0" fillId="0" borderId="18" xfId="0" applyFont="1" applyBorder="1" applyAlignment="1">
      <alignment horizontal="center" vertical="center"/>
    </xf>
    <xf numFmtId="14" fontId="27" fillId="3" borderId="0" xfId="0" applyNumberFormat="1" applyFont="1" applyFill="1"/>
    <xf numFmtId="14" fontId="27" fillId="3" borderId="24" xfId="0" applyNumberFormat="1" applyFont="1" applyFill="1" applyBorder="1"/>
    <xf numFmtId="14" fontId="27" fillId="3" borderId="36" xfId="0" applyNumberFormat="1" applyFont="1" applyFill="1" applyBorder="1"/>
    <xf numFmtId="0" fontId="28" fillId="0" borderId="1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0" fillId="0" borderId="17" xfId="0" applyFill="1" applyBorder="1"/>
    <xf numFmtId="0" fontId="28" fillId="0" borderId="15" xfId="0" applyFont="1" applyFill="1" applyBorder="1" applyAlignment="1">
      <alignment horizontal="center"/>
    </xf>
    <xf numFmtId="0" fontId="28" fillId="0" borderId="15" xfId="0" applyFont="1" applyFill="1" applyBorder="1"/>
    <xf numFmtId="14" fontId="27" fillId="0" borderId="0" xfId="0" applyNumberFormat="1" applyFont="1" applyFill="1"/>
    <xf numFmtId="14" fontId="27" fillId="0" borderId="0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27" fillId="0" borderId="18" xfId="0" applyFont="1" applyFill="1" applyBorder="1" applyAlignment="1">
      <alignment vertical="center"/>
    </xf>
    <xf numFmtId="14" fontId="27" fillId="0" borderId="0" xfId="0" applyNumberFormat="1" applyFont="1" applyFill="1" applyAlignment="1">
      <alignment horizontal="center" vertical="center"/>
    </xf>
    <xf numFmtId="14" fontId="27" fillId="0" borderId="0" xfId="0" applyNumberFormat="1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/>
    </xf>
    <xf numFmtId="14" fontId="27" fillId="0" borderId="38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5" fontId="28" fillId="9" borderId="0" xfId="0" applyNumberFormat="1" applyFont="1" applyFill="1" applyAlignment="1" applyProtection="1">
      <alignment horizontal="center"/>
    </xf>
    <xf numFmtId="0" fontId="27" fillId="9" borderId="19" xfId="0" applyFont="1" applyFill="1" applyBorder="1" applyAlignment="1">
      <alignment horizontal="center" vertical="center"/>
    </xf>
    <xf numFmtId="0" fontId="0" fillId="9" borderId="0" xfId="0" applyFill="1"/>
    <xf numFmtId="0" fontId="0" fillId="9" borderId="0" xfId="0" applyFont="1" applyFill="1"/>
    <xf numFmtId="165" fontId="24" fillId="9" borderId="0" xfId="0" applyNumberFormat="1" applyFont="1" applyFill="1" applyBorder="1" applyAlignment="1" applyProtection="1">
      <alignment horizontal="center"/>
    </xf>
    <xf numFmtId="0" fontId="30" fillId="3" borderId="5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28" fillId="0" borderId="15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31" fillId="0" borderId="1" xfId="0" applyFont="1" applyBorder="1" applyAlignment="1">
      <alignment vertical="top" wrapText="1"/>
    </xf>
    <xf numFmtId="0" fontId="3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1" fillId="0" borderId="10" xfId="0" applyFont="1" applyBorder="1" applyAlignment="1">
      <alignment vertical="top" wrapText="1"/>
    </xf>
    <xf numFmtId="0" fontId="31" fillId="0" borderId="10" xfId="0" applyFont="1" applyBorder="1" applyAlignment="1">
      <alignment horizontal="center" vertical="top" wrapText="1"/>
    </xf>
    <xf numFmtId="0" fontId="31" fillId="0" borderId="2" xfId="0" applyFont="1" applyBorder="1" applyAlignment="1">
      <alignment vertical="top" wrapText="1"/>
    </xf>
    <xf numFmtId="4" fontId="31" fillId="0" borderId="10" xfId="0" applyNumberFormat="1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4" fontId="31" fillId="0" borderId="22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13" fillId="9" borderId="0" xfId="0" applyFont="1" applyFill="1" applyBorder="1" applyAlignment="1">
      <alignment vertical="center"/>
    </xf>
    <xf numFmtId="14" fontId="23" fillId="10" borderId="4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32" fillId="0" borderId="0" xfId="0" applyFont="1" applyFill="1"/>
    <xf numFmtId="0" fontId="8" fillId="0" borderId="0" xfId="0" applyFont="1" applyFill="1"/>
    <xf numFmtId="0" fontId="0" fillId="0" borderId="3" xfId="0" applyFill="1" applyBorder="1"/>
    <xf numFmtId="0" fontId="27" fillId="0" borderId="34" xfId="0" applyFont="1" applyFill="1" applyBorder="1" applyAlignment="1">
      <alignment horizontal="center" vertical="center"/>
    </xf>
    <xf numFmtId="0" fontId="17" fillId="0" borderId="0" xfId="0" applyFont="1"/>
    <xf numFmtId="0" fontId="12" fillId="0" borderId="0" xfId="0" applyFont="1"/>
    <xf numFmtId="0" fontId="33" fillId="0" borderId="0" xfId="0" applyFont="1"/>
    <xf numFmtId="0" fontId="0" fillId="0" borderId="0" xfId="0" applyFill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27" fillId="9" borderId="0" xfId="0" applyFont="1" applyFill="1" applyBorder="1" applyAlignment="1">
      <alignment horizontal="center" vertical="center"/>
    </xf>
    <xf numFmtId="0" fontId="26" fillId="9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Fill="1" applyBorder="1"/>
    <xf numFmtId="0" fontId="34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5" fontId="0" fillId="9" borderId="0" xfId="0" applyNumberFormat="1" applyFont="1" applyFill="1" applyAlignment="1" applyProtection="1">
      <alignment horizontal="center" vertical="center"/>
    </xf>
    <xf numFmtId="0" fontId="36" fillId="0" borderId="0" xfId="0" applyFont="1" applyFill="1" applyAlignment="1">
      <alignment vertical="center"/>
    </xf>
    <xf numFmtId="0" fontId="37" fillId="0" borderId="19" xfId="0" applyFont="1" applyFill="1" applyBorder="1"/>
    <xf numFmtId="0" fontId="37" fillId="0" borderId="35" xfId="0" applyFont="1" applyFill="1" applyBorder="1"/>
    <xf numFmtId="0" fontId="38" fillId="0" borderId="19" xfId="0" applyFont="1" applyFill="1" applyBorder="1"/>
    <xf numFmtId="0" fontId="38" fillId="0" borderId="35" xfId="0" applyFont="1" applyFill="1" applyBorder="1"/>
    <xf numFmtId="0" fontId="39" fillId="0" borderId="17" xfId="0" applyFont="1" applyFill="1" applyBorder="1"/>
    <xf numFmtId="0" fontId="39" fillId="0" borderId="19" xfId="0" applyFont="1" applyFill="1" applyBorder="1"/>
    <xf numFmtId="0" fontId="40" fillId="0" borderId="39" xfId="0" applyFont="1" applyBorder="1"/>
    <xf numFmtId="0" fontId="38" fillId="0" borderId="17" xfId="0" applyFont="1" applyFill="1" applyBorder="1"/>
    <xf numFmtId="0" fontId="40" fillId="0" borderId="34" xfId="0" applyFont="1" applyBorder="1"/>
    <xf numFmtId="0" fontId="0" fillId="0" borderId="3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7" fillId="0" borderId="17" xfId="0" applyFont="1" applyFill="1" applyBorder="1"/>
    <xf numFmtId="0" fontId="16" fillId="0" borderId="18" xfId="0" applyFont="1" applyFill="1" applyBorder="1"/>
    <xf numFmtId="0" fontId="16" fillId="0" borderId="18" xfId="0" applyFont="1" applyBorder="1" applyAlignment="1">
      <alignment horizontal="left" vertical="center"/>
    </xf>
    <xf numFmtId="0" fontId="40" fillId="0" borderId="39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65" fontId="24" fillId="0" borderId="27" xfId="0" applyNumberFormat="1" applyFont="1" applyFill="1" applyBorder="1" applyAlignment="1" applyProtection="1">
      <alignment horizontal="center" vertical="center"/>
    </xf>
    <xf numFmtId="165" fontId="24" fillId="0" borderId="40" xfId="0" applyNumberFormat="1" applyFont="1" applyFill="1" applyBorder="1" applyAlignment="1" applyProtection="1">
      <alignment horizontal="center" vertical="center"/>
    </xf>
    <xf numFmtId="0" fontId="0" fillId="0" borderId="38" xfId="0" applyFill="1" applyBorder="1"/>
    <xf numFmtId="14" fontId="27" fillId="0" borderId="38" xfId="0" applyNumberFormat="1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 applyAlignment="1" applyProtection="1">
      <alignment horizontal="center" vertical="center"/>
    </xf>
    <xf numFmtId="167" fontId="6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/>
    </xf>
    <xf numFmtId="167" fontId="24" fillId="0" borderId="0" xfId="0" applyNumberFormat="1" applyFont="1" applyFill="1" applyBorder="1" applyProtection="1"/>
    <xf numFmtId="0" fontId="27" fillId="0" borderId="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" fontId="24" fillId="0" borderId="0" xfId="0" applyNumberFormat="1" applyFont="1" applyFill="1" applyBorder="1" applyAlignment="1" applyProtection="1">
      <alignment horizontal="center" vertical="center"/>
    </xf>
    <xf numFmtId="14" fontId="20" fillId="9" borderId="0" xfId="0" applyNumberFormat="1" applyFont="1" applyFill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/>
    <xf numFmtId="1" fontId="0" fillId="0" borderId="0" xfId="0" applyNumberFormat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167" fontId="24" fillId="0" borderId="0" xfId="0" applyNumberFormat="1" applyFont="1" applyFill="1" applyBorder="1" applyAlignment="1" applyProtection="1">
      <alignment horizontal="center" vertical="center"/>
    </xf>
    <xf numFmtId="0" fontId="0" fillId="0" borderId="19" xfId="0" applyFill="1" applyBorder="1"/>
    <xf numFmtId="0" fontId="1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2" fillId="0" borderId="0" xfId="0" applyFont="1"/>
    <xf numFmtId="165" fontId="28" fillId="9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5" fontId="8" fillId="2" borderId="21" xfId="0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31" fillId="0" borderId="8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center" vertical="top" wrapText="1"/>
    </xf>
    <xf numFmtId="0" fontId="31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31" fillId="0" borderId="2" xfId="0" applyFont="1" applyBorder="1" applyAlignment="1">
      <alignment vertical="top" wrapText="1"/>
    </xf>
    <xf numFmtId="0" fontId="31" fillId="0" borderId="3" xfId="0" applyFont="1" applyBorder="1" applyAlignment="1">
      <alignment vertical="top" wrapText="1"/>
    </xf>
    <xf numFmtId="0" fontId="12" fillId="0" borderId="0" xfId="0" applyFont="1" applyAlignment="1">
      <alignment horizontal="left" vertical="center"/>
    </xf>
    <xf numFmtId="0" fontId="35" fillId="11" borderId="0" xfId="0" applyFont="1" applyFill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4" fontId="13" fillId="2" borderId="19" xfId="0" applyNumberFormat="1" applyFont="1" applyFill="1" applyBorder="1" applyAlignment="1">
      <alignment horizontal="center" vertical="center"/>
    </xf>
    <xf numFmtId="14" fontId="13" fillId="2" borderId="0" xfId="0" applyNumberFormat="1" applyFont="1" applyFill="1" applyBorder="1" applyAlignment="1">
      <alignment horizontal="center" vertical="center"/>
    </xf>
    <xf numFmtId="0" fontId="34" fillId="9" borderId="37" xfId="0" applyFont="1" applyFill="1" applyBorder="1" applyAlignment="1">
      <alignment horizontal="center" vertical="center"/>
    </xf>
    <xf numFmtId="0" fontId="34" fillId="9" borderId="41" xfId="0" applyFont="1" applyFill="1" applyBorder="1" applyAlignment="1">
      <alignment horizontal="center" vertical="center"/>
    </xf>
    <xf numFmtId="0" fontId="34" fillId="9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14" fontId="13" fillId="2" borderId="19" xfId="0" applyNumberFormat="1" applyFont="1" applyFill="1" applyBorder="1" applyAlignment="1" applyProtection="1">
      <alignment horizontal="center" vertical="center"/>
      <protection locked="0"/>
    </xf>
    <xf numFmtId="14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165" fontId="28" fillId="0" borderId="15" xfId="0" applyNumberFormat="1" applyFont="1" applyFill="1" applyBorder="1" applyAlignment="1" applyProtection="1">
      <alignment horizontal="center" vertical="center"/>
    </xf>
    <xf numFmtId="0" fontId="43" fillId="0" borderId="19" xfId="0" applyFont="1" applyBorder="1" applyAlignment="1">
      <alignment horizontal="center" vertical="center"/>
    </xf>
    <xf numFmtId="14" fontId="16" fillId="3" borderId="37" xfId="0" applyNumberFormat="1" applyFont="1" applyFill="1" applyBorder="1" applyAlignment="1">
      <alignment horizontal="center" vertical="center"/>
    </xf>
    <xf numFmtId="14" fontId="16" fillId="3" borderId="42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44" fontId="0" fillId="0" borderId="35" xfId="1" applyFont="1" applyBorder="1" applyAlignment="1">
      <alignment horizontal="center" vertical="center"/>
    </xf>
    <xf numFmtId="44" fontId="0" fillId="0" borderId="36" xfId="1" applyFont="1" applyBorder="1" applyAlignment="1">
      <alignment horizontal="center" vertical="center"/>
    </xf>
    <xf numFmtId="44" fontId="0" fillId="0" borderId="40" xfId="1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43" fillId="0" borderId="19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27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165" fontId="28" fillId="0" borderId="23" xfId="0" applyNumberFormat="1" applyFont="1" applyFill="1" applyBorder="1" applyAlignment="1" applyProtection="1">
      <alignment horizontal="center" vertical="center"/>
    </xf>
    <xf numFmtId="165" fontId="28" fillId="0" borderId="26" xfId="0" applyNumberFormat="1" applyFont="1" applyFill="1" applyBorder="1" applyAlignment="1" applyProtection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165" fontId="24" fillId="0" borderId="23" xfId="0" applyNumberFormat="1" applyFont="1" applyFill="1" applyBorder="1" applyAlignment="1" applyProtection="1">
      <alignment horizontal="center" vertical="center"/>
    </xf>
    <xf numFmtId="165" fontId="24" fillId="0" borderId="26" xfId="0" applyNumberFormat="1" applyFont="1" applyFill="1" applyBorder="1" applyAlignment="1" applyProtection="1">
      <alignment horizontal="center" vertical="center"/>
    </xf>
    <xf numFmtId="167" fontId="24" fillId="0" borderId="23" xfId="0" applyNumberFormat="1" applyFont="1" applyFill="1" applyBorder="1" applyAlignment="1" applyProtection="1">
      <alignment horizontal="center" vertical="center"/>
    </xf>
    <xf numFmtId="167" fontId="24" fillId="0" borderId="26" xfId="0" applyNumberFormat="1" applyFont="1" applyFill="1" applyBorder="1" applyAlignment="1" applyProtection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0" fillId="0" borderId="26" xfId="0" applyFont="1" applyBorder="1"/>
    <xf numFmtId="165" fontId="24" fillId="2" borderId="0" xfId="0" applyNumberFormat="1" applyFont="1" applyFill="1" applyAlignment="1" applyProtection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7" fillId="0" borderId="26" xfId="0" applyFont="1" applyBorder="1"/>
    <xf numFmtId="0" fontId="13" fillId="2" borderId="0" xfId="0" applyFont="1" applyFill="1" applyAlignment="1">
      <alignment horizontal="center"/>
    </xf>
    <xf numFmtId="165" fontId="37" fillId="0" borderId="18" xfId="0" applyNumberFormat="1" applyFont="1" applyFill="1" applyBorder="1" applyAlignment="1" applyProtection="1">
      <alignment horizontal="left" vertical="center"/>
    </xf>
    <xf numFmtId="165" fontId="37" fillId="0" borderId="24" xfId="0" applyNumberFormat="1" applyFont="1" applyFill="1" applyBorder="1" applyAlignment="1" applyProtection="1">
      <alignment horizontal="left" vertical="center"/>
    </xf>
    <xf numFmtId="165" fontId="36" fillId="0" borderId="0" xfId="0" applyNumberFormat="1" applyFont="1" applyFill="1" applyAlignment="1" applyProtection="1">
      <alignment horizontal="center" vertical="center"/>
    </xf>
    <xf numFmtId="14" fontId="13" fillId="2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41" fillId="0" borderId="4" xfId="0" applyFont="1" applyBorder="1" applyAlignment="1">
      <alignment horizontal="center" wrapText="1"/>
    </xf>
    <xf numFmtId="0" fontId="41" fillId="0" borderId="5" xfId="0" applyFont="1" applyBorder="1" applyAlignment="1">
      <alignment horizont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34" fillId="9" borderId="37" xfId="0" applyFont="1" applyFill="1" applyBorder="1" applyAlignment="1" applyProtection="1">
      <alignment horizontal="center" vertical="center"/>
      <protection locked="0"/>
    </xf>
    <xf numFmtId="0" fontId="34" fillId="9" borderId="41" xfId="0" applyFont="1" applyFill="1" applyBorder="1" applyAlignment="1" applyProtection="1">
      <alignment horizontal="center" vertical="center"/>
      <protection locked="0"/>
    </xf>
    <xf numFmtId="0" fontId="34" fillId="9" borderId="42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center"/>
    </xf>
    <xf numFmtId="14" fontId="13" fillId="2" borderId="0" xfId="0" applyNumberFormat="1" applyFont="1" applyFill="1" applyAlignment="1">
      <alignment horizontal="center" wrapText="1"/>
    </xf>
    <xf numFmtId="49" fontId="13" fillId="2" borderId="0" xfId="0" applyNumberFormat="1" applyFont="1" applyFill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99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17</xdr:row>
      <xdr:rowOff>76200</xdr:rowOff>
    </xdr:from>
    <xdr:to>
      <xdr:col>1</xdr:col>
      <xdr:colOff>619125</xdr:colOff>
      <xdr:row>18</xdr:row>
      <xdr:rowOff>180975</xdr:rowOff>
    </xdr:to>
    <xdr:sp macro="" textlink="">
      <xdr:nvSpPr>
        <xdr:cNvPr id="2" name="Flèche vers le haut 1"/>
        <xdr:cNvSpPr/>
      </xdr:nvSpPr>
      <xdr:spPr>
        <a:xfrm>
          <a:off x="1123950" y="2886075"/>
          <a:ext cx="257175" cy="2952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266700</xdr:colOff>
      <xdr:row>17</xdr:row>
      <xdr:rowOff>95251</xdr:rowOff>
    </xdr:from>
    <xdr:to>
      <xdr:col>7</xdr:col>
      <xdr:colOff>523875</xdr:colOff>
      <xdr:row>21</xdr:row>
      <xdr:rowOff>38101</xdr:rowOff>
    </xdr:to>
    <xdr:sp macro="" textlink="">
      <xdr:nvSpPr>
        <xdr:cNvPr id="3" name="Flèche vers le haut 2"/>
        <xdr:cNvSpPr/>
      </xdr:nvSpPr>
      <xdr:spPr>
        <a:xfrm>
          <a:off x="5086350" y="2905126"/>
          <a:ext cx="257175" cy="7810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</xdr:col>
      <xdr:colOff>304800</xdr:colOff>
      <xdr:row>17</xdr:row>
      <xdr:rowOff>57151</xdr:rowOff>
    </xdr:from>
    <xdr:to>
      <xdr:col>9</xdr:col>
      <xdr:colOff>561975</xdr:colOff>
      <xdr:row>22</xdr:row>
      <xdr:rowOff>152401</xdr:rowOff>
    </xdr:to>
    <xdr:sp macro="" textlink="">
      <xdr:nvSpPr>
        <xdr:cNvPr id="4" name="Flèche vers le haut 3"/>
        <xdr:cNvSpPr/>
      </xdr:nvSpPr>
      <xdr:spPr>
        <a:xfrm>
          <a:off x="6286500" y="2867026"/>
          <a:ext cx="257175" cy="12001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15</xdr:col>
      <xdr:colOff>609600</xdr:colOff>
      <xdr:row>17</xdr:row>
      <xdr:rowOff>114301</xdr:rowOff>
    </xdr:from>
    <xdr:to>
      <xdr:col>15</xdr:col>
      <xdr:colOff>866775</xdr:colOff>
      <xdr:row>24</xdr:row>
      <xdr:rowOff>133351</xdr:rowOff>
    </xdr:to>
    <xdr:sp macro="" textlink="">
      <xdr:nvSpPr>
        <xdr:cNvPr id="5" name="Flèche vers le haut 4"/>
        <xdr:cNvSpPr/>
      </xdr:nvSpPr>
      <xdr:spPr>
        <a:xfrm>
          <a:off x="10696575" y="2924176"/>
          <a:ext cx="257175" cy="15811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723899</xdr:colOff>
      <xdr:row>15</xdr:row>
      <xdr:rowOff>28575</xdr:rowOff>
    </xdr:from>
    <xdr:to>
      <xdr:col>0</xdr:col>
      <xdr:colOff>1228724</xdr:colOff>
      <xdr:row>16</xdr:row>
      <xdr:rowOff>19050</xdr:rowOff>
    </xdr:to>
    <xdr:sp macro="" textlink="">
      <xdr:nvSpPr>
        <xdr:cNvPr id="6" name="Flèche vers le haut 5"/>
        <xdr:cNvSpPr/>
      </xdr:nvSpPr>
      <xdr:spPr>
        <a:xfrm rot="5400000">
          <a:off x="847724" y="4629150"/>
          <a:ext cx="257175" cy="504825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57150</xdr:colOff>
      <xdr:row>15</xdr:row>
      <xdr:rowOff>28577</xdr:rowOff>
    </xdr:from>
    <xdr:to>
      <xdr:col>6</xdr:col>
      <xdr:colOff>304800</xdr:colOff>
      <xdr:row>16</xdr:row>
      <xdr:rowOff>19052</xdr:rowOff>
    </xdr:to>
    <xdr:sp macro="" textlink="">
      <xdr:nvSpPr>
        <xdr:cNvPr id="7" name="Flèche vers le haut 6"/>
        <xdr:cNvSpPr/>
      </xdr:nvSpPr>
      <xdr:spPr>
        <a:xfrm rot="5400000">
          <a:off x="4624387" y="2414590"/>
          <a:ext cx="257175" cy="247650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76201</xdr:colOff>
      <xdr:row>15</xdr:row>
      <xdr:rowOff>19051</xdr:rowOff>
    </xdr:from>
    <xdr:to>
      <xdr:col>8</xdr:col>
      <xdr:colOff>323851</xdr:colOff>
      <xdr:row>16</xdr:row>
      <xdr:rowOff>9526</xdr:rowOff>
    </xdr:to>
    <xdr:sp macro="" textlink="">
      <xdr:nvSpPr>
        <xdr:cNvPr id="8" name="Flèche vers le haut 7"/>
        <xdr:cNvSpPr/>
      </xdr:nvSpPr>
      <xdr:spPr>
        <a:xfrm rot="5400000">
          <a:off x="5653088" y="2405064"/>
          <a:ext cx="257175" cy="247650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14</xdr:col>
      <xdr:colOff>38101</xdr:colOff>
      <xdr:row>15</xdr:row>
      <xdr:rowOff>9525</xdr:rowOff>
    </xdr:from>
    <xdr:to>
      <xdr:col>14</xdr:col>
      <xdr:colOff>285751</xdr:colOff>
      <xdr:row>16</xdr:row>
      <xdr:rowOff>0</xdr:rowOff>
    </xdr:to>
    <xdr:sp macro="" textlink="">
      <xdr:nvSpPr>
        <xdr:cNvPr id="9" name="Flèche vers le haut 8"/>
        <xdr:cNvSpPr/>
      </xdr:nvSpPr>
      <xdr:spPr>
        <a:xfrm rot="5400000">
          <a:off x="9825038" y="2395538"/>
          <a:ext cx="257175" cy="247650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247650</xdr:colOff>
      <xdr:row>7</xdr:row>
      <xdr:rowOff>38099</xdr:rowOff>
    </xdr:from>
    <xdr:to>
      <xdr:col>7</xdr:col>
      <xdr:colOff>504825</xdr:colOff>
      <xdr:row>8</xdr:row>
      <xdr:rowOff>161924</xdr:rowOff>
    </xdr:to>
    <xdr:sp macro="" textlink="">
      <xdr:nvSpPr>
        <xdr:cNvPr id="10" name="Flèche vers le haut 9"/>
        <xdr:cNvSpPr/>
      </xdr:nvSpPr>
      <xdr:spPr>
        <a:xfrm flipV="1">
          <a:off x="5181600" y="761999"/>
          <a:ext cx="257175" cy="3143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180975</xdr:colOff>
      <xdr:row>4</xdr:row>
      <xdr:rowOff>66677</xdr:rowOff>
    </xdr:from>
    <xdr:to>
      <xdr:col>7</xdr:col>
      <xdr:colOff>733425</xdr:colOff>
      <xdr:row>4</xdr:row>
      <xdr:rowOff>323852</xdr:rowOff>
    </xdr:to>
    <xdr:sp macro="" textlink="">
      <xdr:nvSpPr>
        <xdr:cNvPr id="11" name="Flèche vers le haut 10"/>
        <xdr:cNvSpPr/>
      </xdr:nvSpPr>
      <xdr:spPr>
        <a:xfrm rot="5400000">
          <a:off x="5262562" y="785815"/>
          <a:ext cx="257175" cy="5524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200025</xdr:colOff>
      <xdr:row>13</xdr:row>
      <xdr:rowOff>66677</xdr:rowOff>
    </xdr:from>
    <xdr:to>
      <xdr:col>10</xdr:col>
      <xdr:colOff>704850</xdr:colOff>
      <xdr:row>14</xdr:row>
      <xdr:rowOff>28577</xdr:rowOff>
    </xdr:to>
    <xdr:sp macro="" textlink="">
      <xdr:nvSpPr>
        <xdr:cNvPr id="12" name="Flèche vers le haut 11"/>
        <xdr:cNvSpPr/>
      </xdr:nvSpPr>
      <xdr:spPr>
        <a:xfrm rot="5400000">
          <a:off x="7148513" y="3348039"/>
          <a:ext cx="323850" cy="504825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0</xdr:col>
      <xdr:colOff>1739781</xdr:colOff>
      <xdr:row>4</xdr:row>
      <xdr:rowOff>161925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739781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6"/>
  <sheetViews>
    <sheetView zoomScale="70" zoomScaleNormal="70" workbookViewId="0">
      <selection activeCell="E2" sqref="E2"/>
    </sheetView>
  </sheetViews>
  <sheetFormatPr baseColWidth="10" defaultRowHeight="15" x14ac:dyDescent="0.25"/>
  <cols>
    <col min="2" max="2" width="4.28515625" customWidth="1"/>
    <col min="3" max="3" width="18.85546875" customWidth="1"/>
    <col min="12" max="12" width="17.140625" customWidth="1"/>
    <col min="13" max="13" width="18.140625" customWidth="1"/>
  </cols>
  <sheetData>
    <row r="1" spans="1:17" ht="26.25" x14ac:dyDescent="0.25">
      <c r="E1" s="1" t="s">
        <v>0</v>
      </c>
      <c r="L1" s="236" t="s">
        <v>174</v>
      </c>
      <c r="M1" s="235">
        <v>5589.69</v>
      </c>
      <c r="N1" s="326" t="s">
        <v>175</v>
      </c>
      <c r="O1" s="326"/>
      <c r="P1" s="327"/>
    </row>
    <row r="2" spans="1:17" ht="15.75" customHeight="1" thickBot="1" x14ac:dyDescent="0.3">
      <c r="L2" s="29"/>
      <c r="M2" s="30"/>
      <c r="N2" s="30"/>
      <c r="O2" s="12"/>
      <c r="P2" s="33"/>
    </row>
    <row r="3" spans="1:17" ht="15.75" customHeight="1" thickBot="1" x14ac:dyDescent="0.3">
      <c r="C3" s="2"/>
      <c r="L3" s="31" t="s">
        <v>36</v>
      </c>
      <c r="M3" s="32">
        <f>M1/100</f>
        <v>55.896899999999995</v>
      </c>
      <c r="N3" s="325" t="s">
        <v>35</v>
      </c>
      <c r="O3" s="325"/>
      <c r="P3" s="34">
        <f>M3/12</f>
        <v>4.6580749999999993</v>
      </c>
    </row>
    <row r="4" spans="1:17" ht="17.25" customHeight="1" thickBot="1" x14ac:dyDescent="0.3">
      <c r="C4" s="3" t="s">
        <v>1</v>
      </c>
      <c r="P4" s="99">
        <f>M3/12</f>
        <v>4.6580749999999993</v>
      </c>
      <c r="Q4" s="89"/>
    </row>
    <row r="5" spans="1:17" ht="18.75" x14ac:dyDescent="0.25">
      <c r="A5" s="4"/>
      <c r="C5" s="3"/>
      <c r="P5" s="99">
        <f>M3/12</f>
        <v>4.6580749999999993</v>
      </c>
      <c r="Q5" s="89"/>
    </row>
    <row r="6" spans="1:17" ht="33.75" customHeight="1" thickBot="1" x14ac:dyDescent="0.3">
      <c r="A6" s="5" t="s">
        <v>2</v>
      </c>
      <c r="C6" s="5" t="s">
        <v>3</v>
      </c>
      <c r="P6" s="99">
        <f>M3/12</f>
        <v>4.6580749999999993</v>
      </c>
      <c r="Q6" s="89"/>
    </row>
    <row r="7" spans="1:17" ht="18.75" x14ac:dyDescent="0.25">
      <c r="A7" s="6"/>
      <c r="C7" s="3"/>
      <c r="F7" s="7"/>
      <c r="G7" s="8"/>
      <c r="H7" s="8"/>
      <c r="I7" s="8"/>
      <c r="J7" s="8"/>
      <c r="K7" s="9"/>
      <c r="L7" s="330" t="s">
        <v>176</v>
      </c>
      <c r="M7" s="330"/>
      <c r="N7" s="10"/>
      <c r="P7" s="99">
        <f>M3/12</f>
        <v>4.6580749999999993</v>
      </c>
      <c r="Q7" s="89"/>
    </row>
    <row r="8" spans="1:17" ht="19.5" thickBot="1" x14ac:dyDescent="0.4">
      <c r="A8" s="5">
        <v>100</v>
      </c>
      <c r="C8" s="5">
        <v>203</v>
      </c>
      <c r="F8" s="11"/>
      <c r="G8" s="12"/>
      <c r="H8" s="12"/>
      <c r="I8" s="12"/>
      <c r="J8" s="12"/>
      <c r="K8" s="331" t="s">
        <v>4</v>
      </c>
      <c r="L8" s="332"/>
      <c r="M8" s="332"/>
      <c r="N8" s="333"/>
      <c r="P8" s="99">
        <f>M3/12</f>
        <v>4.6580749999999993</v>
      </c>
      <c r="Q8" s="89"/>
    </row>
    <row r="9" spans="1:17" ht="18.75" x14ac:dyDescent="0.35">
      <c r="A9" s="6"/>
      <c r="C9" s="3"/>
      <c r="F9" s="11"/>
      <c r="G9" s="12"/>
      <c r="H9" s="12"/>
      <c r="I9" s="12"/>
      <c r="J9" s="12"/>
      <c r="K9" s="331" t="s">
        <v>177</v>
      </c>
      <c r="L9" s="332"/>
      <c r="M9" s="332"/>
      <c r="N9" s="333"/>
      <c r="P9" s="99">
        <f>M3/12</f>
        <v>4.6580749999999993</v>
      </c>
      <c r="Q9" s="89"/>
    </row>
    <row r="10" spans="1:17" ht="19.5" thickBot="1" x14ac:dyDescent="0.4">
      <c r="A10" s="5">
        <v>101</v>
      </c>
      <c r="C10" s="5">
        <v>204</v>
      </c>
      <c r="F10" s="11"/>
      <c r="G10" s="12"/>
      <c r="H10" s="12"/>
      <c r="I10" s="12"/>
      <c r="J10" s="12"/>
      <c r="K10" s="334" t="s">
        <v>5</v>
      </c>
      <c r="L10" s="335"/>
      <c r="M10" s="335"/>
      <c r="N10" s="336"/>
      <c r="P10" s="99">
        <f>M3/12</f>
        <v>4.6580749999999993</v>
      </c>
      <c r="Q10" s="89"/>
    </row>
    <row r="11" spans="1:17" ht="18.75" x14ac:dyDescent="0.25">
      <c r="A11" s="6"/>
      <c r="C11" s="3"/>
      <c r="F11" s="11"/>
      <c r="G11" s="12"/>
      <c r="H11" s="12"/>
      <c r="I11" s="12"/>
      <c r="J11" s="12"/>
      <c r="K11" s="240"/>
      <c r="L11" s="340"/>
      <c r="M11" s="341"/>
      <c r="N11" s="342"/>
      <c r="O11" s="343"/>
      <c r="P11" s="99">
        <f>M3/12</f>
        <v>4.6580749999999993</v>
      </c>
      <c r="Q11" s="89"/>
    </row>
    <row r="12" spans="1:17" ht="19.5" thickBot="1" x14ac:dyDescent="0.3">
      <c r="A12" s="5">
        <v>102</v>
      </c>
      <c r="C12" s="5">
        <v>204</v>
      </c>
      <c r="F12" s="11"/>
      <c r="G12" s="12"/>
      <c r="H12" s="12"/>
      <c r="I12" s="12"/>
      <c r="J12" s="12"/>
      <c r="K12" s="241" t="s">
        <v>178</v>
      </c>
      <c r="L12" s="337" t="s">
        <v>179</v>
      </c>
      <c r="M12" s="338"/>
      <c r="N12" s="339"/>
      <c r="O12" s="343"/>
      <c r="P12" s="99">
        <f>M3/12</f>
        <v>4.6580749999999993</v>
      </c>
      <c r="Q12" s="89"/>
    </row>
    <row r="13" spans="1:17" ht="18.75" x14ac:dyDescent="0.25">
      <c r="A13" s="6"/>
      <c r="C13" s="3"/>
      <c r="F13" s="11"/>
      <c r="G13" s="12"/>
      <c r="H13" s="12"/>
      <c r="I13" s="12"/>
      <c r="J13" s="12"/>
      <c r="K13" s="242"/>
      <c r="L13" s="244"/>
      <c r="M13" s="245"/>
      <c r="N13" s="245"/>
      <c r="O13" s="343"/>
      <c r="P13" s="99">
        <f>M3/12</f>
        <v>4.6580749999999993</v>
      </c>
      <c r="Q13" s="89"/>
    </row>
    <row r="14" spans="1:17" ht="19.5" thickBot="1" x14ac:dyDescent="0.3">
      <c r="A14" s="5">
        <v>103</v>
      </c>
      <c r="C14" s="5">
        <v>205</v>
      </c>
      <c r="F14" s="11"/>
      <c r="G14" s="328" t="s">
        <v>6</v>
      </c>
      <c r="H14" s="329"/>
      <c r="I14" s="329"/>
      <c r="J14" s="12"/>
      <c r="K14" s="243"/>
      <c r="L14" s="245" t="s">
        <v>180</v>
      </c>
      <c r="M14" s="245" t="s">
        <v>181</v>
      </c>
      <c r="N14" s="245" t="s">
        <v>182</v>
      </c>
      <c r="O14" s="343"/>
      <c r="P14" s="99">
        <f>M3/12</f>
        <v>4.6580749999999993</v>
      </c>
      <c r="Q14" s="89"/>
    </row>
    <row r="15" spans="1:17" ht="18.75" x14ac:dyDescent="0.25">
      <c r="A15" s="6"/>
      <c r="C15" s="3"/>
      <c r="F15" s="13"/>
      <c r="G15" s="14" t="s">
        <v>7</v>
      </c>
      <c r="H15" s="14" t="s">
        <v>8</v>
      </c>
      <c r="I15" s="14" t="s">
        <v>9</v>
      </c>
      <c r="J15" s="12"/>
      <c r="K15" s="246"/>
      <c r="L15" s="245"/>
      <c r="M15" s="245"/>
      <c r="N15" s="245"/>
      <c r="O15" s="343"/>
      <c r="P15" s="99">
        <f>M3/12</f>
        <v>4.6580749999999993</v>
      </c>
      <c r="Q15" s="89"/>
    </row>
    <row r="16" spans="1:17" ht="19.5" thickBot="1" x14ac:dyDescent="0.3">
      <c r="A16" s="5">
        <v>104</v>
      </c>
      <c r="C16" s="5">
        <v>206</v>
      </c>
      <c r="F16" s="15" t="s">
        <v>10</v>
      </c>
      <c r="G16" s="16">
        <f>L16/M3</f>
        <v>880.99966187749237</v>
      </c>
      <c r="H16" s="16">
        <f>M16/M3</f>
        <v>915.99981394317047</v>
      </c>
      <c r="I16" s="16">
        <f>N16/M3</f>
        <v>962.99973701582735</v>
      </c>
      <c r="J16" s="12"/>
      <c r="K16" s="241" t="s">
        <v>183</v>
      </c>
      <c r="L16" s="247">
        <v>49245.15</v>
      </c>
      <c r="M16" s="247">
        <v>51201.55</v>
      </c>
      <c r="N16" s="247">
        <v>53828.7</v>
      </c>
      <c r="O16" s="343"/>
      <c r="P16" s="99">
        <f>M3/12</f>
        <v>4.6580749999999993</v>
      </c>
      <c r="Q16" s="89"/>
    </row>
    <row r="17" spans="1:18" ht="18.75" x14ac:dyDescent="0.25">
      <c r="A17" s="6"/>
      <c r="C17" s="3"/>
      <c r="F17" s="15" t="s">
        <v>11</v>
      </c>
      <c r="G17" s="16">
        <f>L18/M3</f>
        <v>962.99973701582735</v>
      </c>
      <c r="H17" s="16">
        <f>M18/M3</f>
        <v>1003.9995062337983</v>
      </c>
      <c r="I17" s="16">
        <f>N18/M3</f>
        <v>1057.9996386203886</v>
      </c>
      <c r="J17" s="12"/>
      <c r="K17" s="246"/>
      <c r="L17" s="245"/>
      <c r="M17" s="245"/>
      <c r="N17" s="245"/>
      <c r="O17" s="343"/>
      <c r="P17" s="99">
        <f>M3/12</f>
        <v>4.6580749999999993</v>
      </c>
      <c r="Q17" s="89"/>
    </row>
    <row r="18" spans="1:18" ht="19.5" thickBot="1" x14ac:dyDescent="0.3">
      <c r="A18" s="5">
        <v>105</v>
      </c>
      <c r="C18" s="5">
        <v>207</v>
      </c>
      <c r="F18" s="15" t="s">
        <v>12</v>
      </c>
      <c r="G18" s="16">
        <f>L20/M3</f>
        <v>1057.9996386203886</v>
      </c>
      <c r="H18" s="16">
        <f>M20/M3</f>
        <v>1085.9995813721334</v>
      </c>
      <c r="I18" s="16">
        <f>N20/M3</f>
        <v>1114.9995795831253</v>
      </c>
      <c r="J18" s="12"/>
      <c r="K18" s="241" t="s">
        <v>184</v>
      </c>
      <c r="L18" s="247">
        <v>53828.7</v>
      </c>
      <c r="M18" s="247">
        <v>56120.46</v>
      </c>
      <c r="N18" s="247">
        <v>59138.9</v>
      </c>
      <c r="O18" s="343"/>
      <c r="P18" s="99">
        <f>M3/12</f>
        <v>4.6580749999999993</v>
      </c>
      <c r="Q18" s="89"/>
    </row>
    <row r="19" spans="1:18" ht="18.75" x14ac:dyDescent="0.25">
      <c r="A19" s="6"/>
      <c r="C19" s="3"/>
      <c r="F19" s="15" t="s">
        <v>13</v>
      </c>
      <c r="G19" s="16">
        <f>L22/M3</f>
        <v>1114.9995795831253</v>
      </c>
      <c r="H19" s="16">
        <f>M22/M3</f>
        <v>1138.9996582994766</v>
      </c>
      <c r="I19" s="16">
        <f>N22/M3</f>
        <v>1163.999613574277</v>
      </c>
      <c r="J19" s="12"/>
      <c r="K19" s="246"/>
      <c r="L19" s="245"/>
      <c r="M19" s="245"/>
      <c r="N19" s="245"/>
      <c r="O19" s="343"/>
      <c r="P19" s="99">
        <f>M3/12</f>
        <v>4.6580749999999993</v>
      </c>
      <c r="Q19" s="89"/>
    </row>
    <row r="20" spans="1:18" ht="19.5" thickBot="1" x14ac:dyDescent="0.3">
      <c r="A20" s="5">
        <v>106</v>
      </c>
      <c r="C20" s="5">
        <v>207</v>
      </c>
      <c r="F20" s="15" t="s">
        <v>14</v>
      </c>
      <c r="G20" s="16">
        <f>L24/M3</f>
        <v>1163.999613574277</v>
      </c>
      <c r="H20" s="16">
        <f>M24/M3</f>
        <v>1216.9995116008224</v>
      </c>
      <c r="I20" s="16">
        <f>N24/M3</f>
        <v>1269.9995885281653</v>
      </c>
      <c r="J20" s="12"/>
      <c r="K20" s="241" t="s">
        <v>185</v>
      </c>
      <c r="L20" s="247">
        <v>59138.9</v>
      </c>
      <c r="M20" s="247">
        <v>60704.01</v>
      </c>
      <c r="N20" s="247">
        <v>62325.02</v>
      </c>
      <c r="O20" s="343"/>
      <c r="P20" s="99">
        <f>M3/12</f>
        <v>4.6580749999999993</v>
      </c>
      <c r="Q20" s="89"/>
    </row>
    <row r="21" spans="1:18" ht="18.75" x14ac:dyDescent="0.25">
      <c r="A21" s="6"/>
      <c r="C21" s="3"/>
      <c r="F21" s="15" t="s">
        <v>15</v>
      </c>
      <c r="G21" s="16">
        <f>L26/M3</f>
        <v>1269.9995885281653</v>
      </c>
      <c r="H21" s="16">
        <f>M26/M3</f>
        <v>1319.9994990777666</v>
      </c>
      <c r="I21" s="17"/>
      <c r="J21" s="12"/>
      <c r="K21" s="246"/>
      <c r="L21" s="245"/>
      <c r="M21" s="245"/>
      <c r="N21" s="245"/>
      <c r="O21" s="343"/>
      <c r="P21" s="99">
        <f>M3/12</f>
        <v>4.6580749999999993</v>
      </c>
      <c r="Q21" s="89"/>
      <c r="R21" s="36"/>
    </row>
    <row r="22" spans="1:18" ht="19.5" thickBot="1" x14ac:dyDescent="0.3">
      <c r="A22" s="5">
        <v>107</v>
      </c>
      <c r="C22" s="5">
        <v>208</v>
      </c>
      <c r="F22" s="15" t="s">
        <v>16</v>
      </c>
      <c r="G22" s="16">
        <f>L28/M3</f>
        <v>1368.999533068918</v>
      </c>
      <c r="H22" s="17"/>
      <c r="I22" s="18"/>
      <c r="J22" s="12"/>
      <c r="K22" s="241" t="s">
        <v>186</v>
      </c>
      <c r="L22" s="247">
        <v>62325.02</v>
      </c>
      <c r="M22" s="247">
        <v>63666.55</v>
      </c>
      <c r="N22" s="247">
        <v>65063.97</v>
      </c>
      <c r="O22" s="343"/>
      <c r="P22" s="99">
        <f>M3/12</f>
        <v>4.6580749999999993</v>
      </c>
      <c r="Q22" s="89"/>
    </row>
    <row r="23" spans="1:18" ht="18.75" x14ac:dyDescent="0.25">
      <c r="A23" s="6"/>
      <c r="C23" s="3"/>
      <c r="F23" s="15" t="s">
        <v>17</v>
      </c>
      <c r="G23" s="19">
        <f>L30/M3</f>
        <v>1500.9993398560566</v>
      </c>
      <c r="H23" s="20"/>
      <c r="I23" s="18"/>
      <c r="J23" s="12"/>
      <c r="K23" s="246"/>
      <c r="L23" s="245"/>
      <c r="M23" s="245"/>
      <c r="N23" s="245"/>
      <c r="O23" s="343"/>
      <c r="P23" s="99">
        <f>M3/12</f>
        <v>4.6580749999999993</v>
      </c>
      <c r="Q23" s="89"/>
    </row>
    <row r="24" spans="1:18" ht="19.5" thickBot="1" x14ac:dyDescent="0.3">
      <c r="A24" s="5">
        <v>108</v>
      </c>
      <c r="C24" s="5">
        <v>209</v>
      </c>
      <c r="F24" s="11"/>
      <c r="G24" s="18"/>
      <c r="H24" s="18"/>
      <c r="I24" s="18"/>
      <c r="J24" s="12"/>
      <c r="K24" s="241" t="s">
        <v>187</v>
      </c>
      <c r="L24" s="247">
        <v>65063.97</v>
      </c>
      <c r="M24" s="247">
        <v>68026.5</v>
      </c>
      <c r="N24" s="247">
        <v>70989.039999999994</v>
      </c>
      <c r="O24" s="343"/>
      <c r="P24" s="99">
        <f>M3/12</f>
        <v>4.6580749999999993</v>
      </c>
      <c r="Q24" s="89"/>
    </row>
    <row r="25" spans="1:18" ht="18.75" x14ac:dyDescent="0.25">
      <c r="A25" s="6"/>
      <c r="C25" s="3"/>
      <c r="F25" s="11"/>
      <c r="G25" s="18"/>
      <c r="H25" s="18"/>
      <c r="I25" s="18"/>
      <c r="J25" s="12"/>
      <c r="K25" s="246"/>
      <c r="L25" s="245"/>
      <c r="M25" s="245"/>
      <c r="N25" s="344"/>
      <c r="O25" s="343"/>
      <c r="P25" s="99">
        <f>M3/12</f>
        <v>4.6580749999999993</v>
      </c>
    </row>
    <row r="26" spans="1:18" ht="19.5" thickBot="1" x14ac:dyDescent="0.3">
      <c r="A26" s="5">
        <v>109</v>
      </c>
      <c r="C26" s="5">
        <v>210</v>
      </c>
      <c r="F26" s="11"/>
      <c r="G26" s="18"/>
      <c r="H26" s="18"/>
      <c r="I26" s="18"/>
      <c r="J26" s="12"/>
      <c r="K26" s="241" t="s">
        <v>188</v>
      </c>
      <c r="L26" s="247">
        <v>70989.039999999994</v>
      </c>
      <c r="M26" s="247">
        <v>73783.88</v>
      </c>
      <c r="N26" s="344"/>
      <c r="O26" s="343"/>
      <c r="P26" s="99">
        <f>M3/12</f>
        <v>4.6580749999999993</v>
      </c>
    </row>
    <row r="27" spans="1:18" ht="18.75" x14ac:dyDescent="0.25">
      <c r="A27" s="6"/>
      <c r="C27" s="3"/>
      <c r="F27" s="11"/>
      <c r="G27" s="18"/>
      <c r="H27" s="18"/>
      <c r="I27" s="18"/>
      <c r="J27" s="12"/>
      <c r="K27" s="246"/>
      <c r="L27" s="245"/>
      <c r="M27" s="344"/>
      <c r="N27" s="344"/>
      <c r="O27" s="343"/>
      <c r="P27" s="99">
        <f>M3/12</f>
        <v>4.6580749999999993</v>
      </c>
    </row>
    <row r="28" spans="1:18" ht="19.5" thickBot="1" x14ac:dyDescent="0.3">
      <c r="A28" s="5">
        <v>110</v>
      </c>
      <c r="C28" s="5">
        <v>210</v>
      </c>
      <c r="F28" s="11"/>
      <c r="G28" s="18"/>
      <c r="H28" s="18"/>
      <c r="I28" s="18"/>
      <c r="J28" s="12"/>
      <c r="K28" s="241" t="s">
        <v>189</v>
      </c>
      <c r="L28" s="247">
        <v>76522.83</v>
      </c>
      <c r="M28" s="344"/>
      <c r="N28" s="344"/>
      <c r="O28" s="343"/>
      <c r="P28" s="99">
        <f>M3/12</f>
        <v>4.6580749999999993</v>
      </c>
    </row>
    <row r="29" spans="1:18" ht="18.75" x14ac:dyDescent="0.25">
      <c r="A29" s="6"/>
      <c r="C29" s="3"/>
      <c r="F29" s="11"/>
      <c r="G29" s="18"/>
      <c r="H29" s="18"/>
      <c r="I29" s="18"/>
      <c r="J29" s="12"/>
      <c r="K29" s="246"/>
      <c r="L29" s="245"/>
      <c r="M29" s="344"/>
      <c r="N29" s="344"/>
      <c r="O29" s="343"/>
      <c r="P29" s="99">
        <f>M3/12</f>
        <v>4.6580749999999993</v>
      </c>
    </row>
    <row r="30" spans="1:18" ht="19.5" thickBot="1" x14ac:dyDescent="0.3">
      <c r="A30" s="5">
        <v>111</v>
      </c>
      <c r="C30" s="5">
        <v>211</v>
      </c>
      <c r="F30" s="21"/>
      <c r="G30" s="22"/>
      <c r="H30" s="22"/>
      <c r="I30" s="22"/>
      <c r="J30" s="23"/>
      <c r="K30" s="248" t="s">
        <v>190</v>
      </c>
      <c r="L30" s="249">
        <v>83901.21</v>
      </c>
      <c r="M30" s="345"/>
      <c r="N30" s="345"/>
      <c r="O30" s="343"/>
      <c r="P30" s="99">
        <f>M3/12</f>
        <v>4.6580749999999993</v>
      </c>
    </row>
    <row r="31" spans="1:18" ht="18.75" x14ac:dyDescent="0.25">
      <c r="A31" s="6"/>
      <c r="C31" s="3"/>
      <c r="P31" s="99">
        <f>M3/12</f>
        <v>4.6580749999999993</v>
      </c>
    </row>
    <row r="32" spans="1:18" ht="19.5" thickBot="1" x14ac:dyDescent="0.3">
      <c r="A32" s="5">
        <v>112</v>
      </c>
      <c r="C32" s="5">
        <v>212</v>
      </c>
      <c r="P32" s="99">
        <f>M3/12</f>
        <v>4.6580749999999993</v>
      </c>
    </row>
    <row r="33" spans="1:16" ht="18.75" x14ac:dyDescent="0.25">
      <c r="A33" s="6"/>
      <c r="C33" s="3"/>
      <c r="H33" s="106"/>
      <c r="P33" s="99">
        <f>M3/12</f>
        <v>4.6580749999999993</v>
      </c>
    </row>
    <row r="34" spans="1:16" ht="19.5" thickBot="1" x14ac:dyDescent="0.3">
      <c r="A34" s="5">
        <v>113</v>
      </c>
      <c r="C34" s="5">
        <v>213</v>
      </c>
      <c r="P34" s="99">
        <f>M3/12</f>
        <v>4.6580749999999993</v>
      </c>
    </row>
    <row r="35" spans="1:16" ht="18.75" x14ac:dyDescent="0.25">
      <c r="A35" s="6"/>
      <c r="C35" s="3"/>
      <c r="P35" s="99">
        <f>M3/12</f>
        <v>4.6580749999999993</v>
      </c>
    </row>
    <row r="36" spans="1:16" ht="19.5" thickBot="1" x14ac:dyDescent="0.3">
      <c r="A36" s="5">
        <v>114</v>
      </c>
      <c r="C36" s="5">
        <v>213</v>
      </c>
      <c r="P36" s="99">
        <f>M3/12</f>
        <v>4.6580749999999993</v>
      </c>
    </row>
    <row r="37" spans="1:16" ht="18.75" x14ac:dyDescent="0.25">
      <c r="A37" s="6"/>
      <c r="C37" s="3"/>
      <c r="P37" s="99">
        <f>M3/12</f>
        <v>4.6580749999999993</v>
      </c>
    </row>
    <row r="38" spans="1:16" ht="19.5" thickBot="1" x14ac:dyDescent="0.3">
      <c r="A38" s="5">
        <v>115</v>
      </c>
      <c r="C38" s="5">
        <v>214</v>
      </c>
      <c r="P38" s="99">
        <f>M3/12</f>
        <v>4.6580749999999993</v>
      </c>
    </row>
    <row r="39" spans="1:16" ht="18.75" x14ac:dyDescent="0.25">
      <c r="A39" s="6"/>
      <c r="C39" s="3"/>
      <c r="P39" s="99">
        <f>M3/12</f>
        <v>4.6580749999999993</v>
      </c>
    </row>
    <row r="40" spans="1:16" ht="19.5" thickBot="1" x14ac:dyDescent="0.3">
      <c r="A40" s="5">
        <v>116</v>
      </c>
      <c r="C40" s="5">
        <v>215</v>
      </c>
      <c r="P40" s="99">
        <f>M3/12</f>
        <v>4.6580749999999993</v>
      </c>
    </row>
    <row r="41" spans="1:16" ht="18.75" x14ac:dyDescent="0.25">
      <c r="A41" s="6"/>
      <c r="C41" s="3"/>
      <c r="P41" s="99">
        <f>M3/12</f>
        <v>4.6580749999999993</v>
      </c>
    </row>
    <row r="42" spans="1:16" ht="19.5" thickBot="1" x14ac:dyDescent="0.3">
      <c r="A42" s="5">
        <v>117</v>
      </c>
      <c r="C42" s="5">
        <v>215</v>
      </c>
      <c r="P42" s="99">
        <f>M3/12</f>
        <v>4.6580749999999993</v>
      </c>
    </row>
    <row r="43" spans="1:16" ht="18.75" x14ac:dyDescent="0.25">
      <c r="A43" s="6"/>
      <c r="C43" s="3"/>
      <c r="P43" s="99">
        <f>M3/12</f>
        <v>4.6580749999999993</v>
      </c>
    </row>
    <row r="44" spans="1:16" ht="19.5" thickBot="1" x14ac:dyDescent="0.3">
      <c r="A44" s="5">
        <v>118</v>
      </c>
      <c r="C44" s="5">
        <v>216</v>
      </c>
      <c r="P44" s="99">
        <f>M3/12</f>
        <v>4.6580749999999993</v>
      </c>
    </row>
    <row r="45" spans="1:16" ht="18.75" x14ac:dyDescent="0.25">
      <c r="A45" s="6"/>
      <c r="C45" s="3"/>
      <c r="P45" s="99">
        <f>M3/12</f>
        <v>4.6580749999999993</v>
      </c>
    </row>
    <row r="46" spans="1:16" ht="19.5" thickBot="1" x14ac:dyDescent="0.3">
      <c r="A46" s="5">
        <v>119</v>
      </c>
      <c r="C46" s="5">
        <v>217</v>
      </c>
      <c r="P46" s="99">
        <f>M3/12</f>
        <v>4.6580749999999993</v>
      </c>
    </row>
    <row r="47" spans="1:16" ht="18.75" x14ac:dyDescent="0.25">
      <c r="A47" s="6"/>
      <c r="C47" s="3"/>
      <c r="P47" s="99">
        <f>M3/12</f>
        <v>4.6580749999999993</v>
      </c>
    </row>
    <row r="48" spans="1:16" ht="19.5" thickBot="1" x14ac:dyDescent="0.3">
      <c r="A48" s="5">
        <v>120</v>
      </c>
      <c r="C48" s="5">
        <v>218</v>
      </c>
      <c r="P48" s="99">
        <f>M3/12</f>
        <v>4.6580749999999993</v>
      </c>
    </row>
    <row r="49" spans="1:16" ht="18.75" x14ac:dyDescent="0.25">
      <c r="A49" s="6"/>
      <c r="C49" s="3"/>
      <c r="P49" s="99">
        <f>M3/12</f>
        <v>4.6580749999999993</v>
      </c>
    </row>
    <row r="50" spans="1:16" ht="19.5" thickBot="1" x14ac:dyDescent="0.3">
      <c r="A50" s="5">
        <v>121</v>
      </c>
      <c r="C50" s="5">
        <v>219</v>
      </c>
      <c r="P50" s="99">
        <f>M3/12</f>
        <v>4.6580749999999993</v>
      </c>
    </row>
    <row r="51" spans="1:16" ht="18.75" x14ac:dyDescent="0.25">
      <c r="A51" s="6"/>
      <c r="C51" s="3"/>
      <c r="P51" s="99">
        <f>M3/12</f>
        <v>4.6580749999999993</v>
      </c>
    </row>
    <row r="52" spans="1:16" ht="19.5" thickBot="1" x14ac:dyDescent="0.3">
      <c r="A52" s="5">
        <v>122</v>
      </c>
      <c r="C52" s="5">
        <v>220</v>
      </c>
      <c r="P52" s="99">
        <f>M3/12</f>
        <v>4.6580749999999993</v>
      </c>
    </row>
    <row r="53" spans="1:16" ht="18.75" x14ac:dyDescent="0.25">
      <c r="A53" s="6"/>
      <c r="C53" s="3"/>
      <c r="P53" s="99">
        <f>M3/12</f>
        <v>4.6580749999999993</v>
      </c>
    </row>
    <row r="54" spans="1:16" ht="19.5" thickBot="1" x14ac:dyDescent="0.3">
      <c r="A54" s="5">
        <v>123</v>
      </c>
      <c r="C54" s="5">
        <v>221</v>
      </c>
      <c r="P54" s="99">
        <f>M3/12</f>
        <v>4.6580749999999993</v>
      </c>
    </row>
    <row r="55" spans="1:16" ht="18.75" x14ac:dyDescent="0.25">
      <c r="A55" s="6"/>
      <c r="C55" s="3"/>
      <c r="P55" s="99">
        <f>M3/12</f>
        <v>4.6580749999999993</v>
      </c>
    </row>
    <row r="56" spans="1:16" ht="19.5" thickBot="1" x14ac:dyDescent="0.3">
      <c r="A56" s="5">
        <v>124</v>
      </c>
      <c r="C56" s="5">
        <v>222</v>
      </c>
      <c r="P56" s="99">
        <f>M3/12</f>
        <v>4.6580749999999993</v>
      </c>
    </row>
    <row r="57" spans="1:16" ht="18.75" x14ac:dyDescent="0.25">
      <c r="A57" s="6"/>
      <c r="C57" s="3"/>
      <c r="P57" s="99">
        <f>M3/12</f>
        <v>4.6580749999999993</v>
      </c>
    </row>
    <row r="58" spans="1:16" ht="19.5" thickBot="1" x14ac:dyDescent="0.3">
      <c r="A58" s="5">
        <v>125</v>
      </c>
      <c r="C58" s="5">
        <v>222</v>
      </c>
      <c r="P58" s="99">
        <f>M3/12</f>
        <v>4.6580749999999993</v>
      </c>
    </row>
    <row r="59" spans="1:16" ht="18.75" x14ac:dyDescent="0.25">
      <c r="A59" s="6"/>
      <c r="C59" s="3"/>
      <c r="P59" s="99">
        <f>M3/12</f>
        <v>4.6580749999999993</v>
      </c>
    </row>
    <row r="60" spans="1:16" ht="19.5" thickBot="1" x14ac:dyDescent="0.3">
      <c r="A60" s="5">
        <v>126</v>
      </c>
      <c r="C60" s="5">
        <v>223</v>
      </c>
      <c r="P60" s="99">
        <f>M3/12</f>
        <v>4.6580749999999993</v>
      </c>
    </row>
    <row r="61" spans="1:16" ht="18.75" x14ac:dyDescent="0.25">
      <c r="A61" s="6"/>
      <c r="C61" s="3"/>
      <c r="P61" s="99">
        <f>M3/12</f>
        <v>4.6580749999999993</v>
      </c>
    </row>
    <row r="62" spans="1:16" ht="19.5" thickBot="1" x14ac:dyDescent="0.3">
      <c r="A62" s="5">
        <v>127</v>
      </c>
      <c r="C62" s="5">
        <v>224</v>
      </c>
      <c r="P62" s="99">
        <f>M3/12</f>
        <v>4.6580749999999993</v>
      </c>
    </row>
    <row r="63" spans="1:16" ht="18.75" x14ac:dyDescent="0.25">
      <c r="A63" s="6"/>
      <c r="C63" s="3"/>
      <c r="P63" s="99">
        <f>M3/12</f>
        <v>4.6580749999999993</v>
      </c>
    </row>
    <row r="64" spans="1:16" ht="19.5" thickBot="1" x14ac:dyDescent="0.3">
      <c r="A64" s="5">
        <v>128</v>
      </c>
      <c r="C64" s="5">
        <v>225</v>
      </c>
      <c r="P64" s="99">
        <f>M3/12</f>
        <v>4.6580749999999993</v>
      </c>
    </row>
    <row r="65" spans="1:16" ht="18.75" x14ac:dyDescent="0.25">
      <c r="A65" s="6"/>
      <c r="C65" s="3"/>
      <c r="P65" s="99">
        <f>M3/12</f>
        <v>4.6580749999999993</v>
      </c>
    </row>
    <row r="66" spans="1:16" ht="19.5" thickBot="1" x14ac:dyDescent="0.3">
      <c r="A66" s="5">
        <v>129</v>
      </c>
      <c r="C66" s="5">
        <v>225</v>
      </c>
      <c r="P66" s="99">
        <f>M3/12</f>
        <v>4.6580749999999993</v>
      </c>
    </row>
    <row r="67" spans="1:16" ht="18.75" x14ac:dyDescent="0.25">
      <c r="A67" s="6"/>
      <c r="C67" s="3"/>
      <c r="P67" s="99">
        <f>M3/12</f>
        <v>4.6580749999999993</v>
      </c>
    </row>
    <row r="68" spans="1:16" ht="19.5" thickBot="1" x14ac:dyDescent="0.3">
      <c r="A68" s="5">
        <v>130</v>
      </c>
      <c r="C68" s="5">
        <v>226</v>
      </c>
      <c r="P68" s="99">
        <f>M3/12</f>
        <v>4.6580749999999993</v>
      </c>
    </row>
    <row r="69" spans="1:16" ht="18.75" x14ac:dyDescent="0.25">
      <c r="A69" s="6"/>
      <c r="C69" s="3"/>
      <c r="P69" s="99">
        <f>M3/12</f>
        <v>4.6580749999999993</v>
      </c>
    </row>
    <row r="70" spans="1:16" ht="19.5" thickBot="1" x14ac:dyDescent="0.3">
      <c r="A70" s="5">
        <v>131</v>
      </c>
      <c r="C70" s="5">
        <v>227</v>
      </c>
      <c r="P70" s="99">
        <f>M3/12</f>
        <v>4.6580749999999993</v>
      </c>
    </row>
    <row r="71" spans="1:16" ht="18.75" x14ac:dyDescent="0.25">
      <c r="A71" s="6"/>
      <c r="C71" s="3"/>
      <c r="P71" s="99">
        <f>M3/12</f>
        <v>4.6580749999999993</v>
      </c>
    </row>
    <row r="72" spans="1:16" ht="19.5" thickBot="1" x14ac:dyDescent="0.3">
      <c r="A72" s="5">
        <v>132</v>
      </c>
      <c r="C72" s="5">
        <v>228</v>
      </c>
      <c r="P72" s="99">
        <f>M3/12</f>
        <v>4.6580749999999993</v>
      </c>
    </row>
    <row r="73" spans="1:16" ht="18.75" x14ac:dyDescent="0.25">
      <c r="A73" s="6"/>
      <c r="C73" s="3"/>
      <c r="P73" s="99">
        <f>M3/12</f>
        <v>4.6580749999999993</v>
      </c>
    </row>
    <row r="74" spans="1:16" ht="19.5" thickBot="1" x14ac:dyDescent="0.3">
      <c r="A74" s="5">
        <v>133</v>
      </c>
      <c r="C74" s="5">
        <v>228</v>
      </c>
      <c r="P74" s="99">
        <f>M3/12</f>
        <v>4.6580749999999993</v>
      </c>
    </row>
    <row r="75" spans="1:16" ht="18.75" x14ac:dyDescent="0.25">
      <c r="A75" s="6"/>
      <c r="C75" s="3"/>
      <c r="P75" s="99">
        <f>M3/12</f>
        <v>4.6580749999999993</v>
      </c>
    </row>
    <row r="76" spans="1:16" ht="19.5" thickBot="1" x14ac:dyDescent="0.3">
      <c r="A76" s="5">
        <v>134</v>
      </c>
      <c r="C76" s="5">
        <v>229</v>
      </c>
      <c r="P76" s="99">
        <f>M3/12</f>
        <v>4.6580749999999993</v>
      </c>
    </row>
    <row r="77" spans="1:16" ht="18.75" x14ac:dyDescent="0.25">
      <c r="A77" s="6"/>
      <c r="C77" s="3"/>
      <c r="P77" s="99">
        <f>M3/12</f>
        <v>4.6580749999999993</v>
      </c>
    </row>
    <row r="78" spans="1:16" ht="19.5" thickBot="1" x14ac:dyDescent="0.3">
      <c r="A78" s="5">
        <v>135</v>
      </c>
      <c r="C78" s="5">
        <v>230</v>
      </c>
      <c r="P78" s="99">
        <f>M3/12</f>
        <v>4.6580749999999993</v>
      </c>
    </row>
    <row r="79" spans="1:16" ht="18.75" x14ac:dyDescent="0.25">
      <c r="A79" s="6"/>
      <c r="C79" s="3"/>
      <c r="P79" s="99">
        <f>M3/12</f>
        <v>4.6580749999999993</v>
      </c>
    </row>
    <row r="80" spans="1:16" ht="19.5" thickBot="1" x14ac:dyDescent="0.3">
      <c r="A80" s="5">
        <v>136</v>
      </c>
      <c r="C80" s="5">
        <v>230</v>
      </c>
      <c r="P80" s="99">
        <f>M3/12</f>
        <v>4.6580749999999993</v>
      </c>
    </row>
    <row r="81" spans="1:3" x14ac:dyDescent="0.25">
      <c r="A81" s="6"/>
      <c r="C81" s="3"/>
    </row>
    <row r="82" spans="1:3" ht="15.75" thickBot="1" x14ac:dyDescent="0.3">
      <c r="A82" s="5">
        <v>137</v>
      </c>
      <c r="C82" s="5">
        <v>231</v>
      </c>
    </row>
    <row r="83" spans="1:3" x14ac:dyDescent="0.25">
      <c r="A83" s="6"/>
      <c r="C83" s="3"/>
    </row>
    <row r="84" spans="1:3" ht="15.75" thickBot="1" x14ac:dyDescent="0.3">
      <c r="A84" s="5">
        <v>138</v>
      </c>
      <c r="C84" s="5">
        <v>231</v>
      </c>
    </row>
    <row r="85" spans="1:3" x14ac:dyDescent="0.25">
      <c r="A85" s="6"/>
      <c r="C85" s="3"/>
    </row>
    <row r="86" spans="1:3" ht="15.75" thickBot="1" x14ac:dyDescent="0.3">
      <c r="A86" s="5">
        <v>139</v>
      </c>
      <c r="C86" s="5">
        <v>231</v>
      </c>
    </row>
    <row r="87" spans="1:3" x14ac:dyDescent="0.25">
      <c r="A87" s="6"/>
      <c r="C87" s="3"/>
    </row>
    <row r="88" spans="1:3" ht="15.75" thickBot="1" x14ac:dyDescent="0.3">
      <c r="A88" s="5">
        <v>140</v>
      </c>
      <c r="C88" s="5">
        <v>232</v>
      </c>
    </row>
    <row r="89" spans="1:3" x14ac:dyDescent="0.25">
      <c r="A89" s="6"/>
      <c r="C89" s="3"/>
    </row>
    <row r="90" spans="1:3" ht="15.75" thickBot="1" x14ac:dyDescent="0.3">
      <c r="A90" s="5">
        <v>141</v>
      </c>
      <c r="C90" s="5">
        <v>232</v>
      </c>
    </row>
    <row r="91" spans="1:3" x14ac:dyDescent="0.25">
      <c r="A91" s="6"/>
      <c r="C91" s="3"/>
    </row>
    <row r="92" spans="1:3" ht="15.75" thickBot="1" x14ac:dyDescent="0.3">
      <c r="A92" s="5">
        <v>142</v>
      </c>
      <c r="C92" s="5">
        <v>233</v>
      </c>
    </row>
    <row r="93" spans="1:3" x14ac:dyDescent="0.25">
      <c r="A93" s="6"/>
      <c r="C93" s="3"/>
    </row>
    <row r="94" spans="1:3" ht="15.75" thickBot="1" x14ac:dyDescent="0.3">
      <c r="A94" s="5">
        <v>143</v>
      </c>
      <c r="C94" s="5">
        <v>233</v>
      </c>
    </row>
    <row r="95" spans="1:3" x14ac:dyDescent="0.25">
      <c r="A95" s="6"/>
      <c r="C95" s="3"/>
    </row>
    <row r="96" spans="1:3" ht="15.75" thickBot="1" x14ac:dyDescent="0.3">
      <c r="A96" s="5">
        <v>144</v>
      </c>
      <c r="C96" s="5">
        <v>234</v>
      </c>
    </row>
    <row r="97" spans="1:3" x14ac:dyDescent="0.25">
      <c r="A97" s="6"/>
      <c r="C97" s="3"/>
    </row>
    <row r="98" spans="1:3" ht="15.75" thickBot="1" x14ac:dyDescent="0.3">
      <c r="A98" s="5">
        <v>145</v>
      </c>
      <c r="C98" s="5">
        <v>234</v>
      </c>
    </row>
    <row r="99" spans="1:3" x14ac:dyDescent="0.25">
      <c r="A99" s="6"/>
      <c r="C99" s="3"/>
    </row>
    <row r="100" spans="1:3" ht="15.75" thickBot="1" x14ac:dyDescent="0.3">
      <c r="A100" s="5">
        <v>146</v>
      </c>
      <c r="C100" s="5">
        <v>235</v>
      </c>
    </row>
    <row r="101" spans="1:3" x14ac:dyDescent="0.25">
      <c r="A101" s="6"/>
      <c r="C101" s="3"/>
    </row>
    <row r="102" spans="1:3" ht="15.75" thickBot="1" x14ac:dyDescent="0.3">
      <c r="A102" s="5">
        <v>147</v>
      </c>
      <c r="C102" s="5">
        <v>236</v>
      </c>
    </row>
    <row r="103" spans="1:3" x14ac:dyDescent="0.25">
      <c r="A103" s="6"/>
      <c r="C103" s="3"/>
    </row>
    <row r="104" spans="1:3" ht="15.75" thickBot="1" x14ac:dyDescent="0.3">
      <c r="A104" s="5">
        <v>148</v>
      </c>
      <c r="C104" s="5">
        <v>236</v>
      </c>
    </row>
    <row r="105" spans="1:3" x14ac:dyDescent="0.25">
      <c r="A105" s="6"/>
      <c r="C105" s="3"/>
    </row>
    <row r="106" spans="1:3" ht="15.75" thickBot="1" x14ac:dyDescent="0.3">
      <c r="A106" s="5">
        <v>149</v>
      </c>
      <c r="C106" s="5">
        <v>237</v>
      </c>
    </row>
    <row r="107" spans="1:3" x14ac:dyDescent="0.25">
      <c r="A107" s="6"/>
      <c r="C107" s="3"/>
    </row>
    <row r="108" spans="1:3" ht="15.75" thickBot="1" x14ac:dyDescent="0.3">
      <c r="A108" s="5">
        <v>150</v>
      </c>
      <c r="C108" s="5">
        <v>237</v>
      </c>
    </row>
    <row r="109" spans="1:3" x14ac:dyDescent="0.25">
      <c r="A109" s="6"/>
      <c r="C109" s="3"/>
    </row>
    <row r="110" spans="1:3" ht="15.75" thickBot="1" x14ac:dyDescent="0.3">
      <c r="A110" s="5">
        <v>151</v>
      </c>
      <c r="C110" s="5">
        <v>238</v>
      </c>
    </row>
    <row r="111" spans="1:3" x14ac:dyDescent="0.25">
      <c r="A111" s="6"/>
      <c r="C111" s="3"/>
    </row>
    <row r="112" spans="1:3" ht="15.75" thickBot="1" x14ac:dyDescent="0.3">
      <c r="A112" s="5">
        <v>152</v>
      </c>
      <c r="C112" s="5">
        <v>238</v>
      </c>
    </row>
    <row r="113" spans="1:3" x14ac:dyDescent="0.25">
      <c r="A113" s="6"/>
      <c r="C113" s="3"/>
    </row>
    <row r="114" spans="1:3" ht="15.75" thickBot="1" x14ac:dyDescent="0.3">
      <c r="A114" s="5">
        <v>153</v>
      </c>
      <c r="C114" s="5">
        <v>238</v>
      </c>
    </row>
    <row r="115" spans="1:3" x14ac:dyDescent="0.25">
      <c r="A115" s="6"/>
      <c r="C115" s="3"/>
    </row>
    <row r="116" spans="1:3" ht="15.75" thickBot="1" x14ac:dyDescent="0.3">
      <c r="A116" s="5">
        <v>154</v>
      </c>
      <c r="C116" s="5">
        <v>239</v>
      </c>
    </row>
    <row r="117" spans="1:3" x14ac:dyDescent="0.25">
      <c r="A117" s="6"/>
      <c r="C117" s="3"/>
    </row>
    <row r="118" spans="1:3" ht="15.75" thickBot="1" x14ac:dyDescent="0.3">
      <c r="A118" s="5">
        <v>155</v>
      </c>
      <c r="C118" s="5">
        <v>239</v>
      </c>
    </row>
    <row r="119" spans="1:3" x14ac:dyDescent="0.25">
      <c r="A119" s="6"/>
      <c r="C119" s="3"/>
    </row>
    <row r="120" spans="1:3" ht="15.75" thickBot="1" x14ac:dyDescent="0.3">
      <c r="A120" s="5">
        <v>156</v>
      </c>
      <c r="C120" s="5">
        <v>239</v>
      </c>
    </row>
    <row r="121" spans="1:3" x14ac:dyDescent="0.25">
      <c r="A121" s="6"/>
      <c r="C121" s="3"/>
    </row>
    <row r="122" spans="1:3" ht="15.75" thickBot="1" x14ac:dyDescent="0.3">
      <c r="A122" s="5">
        <v>157</v>
      </c>
      <c r="C122" s="5">
        <v>240</v>
      </c>
    </row>
    <row r="123" spans="1:3" x14ac:dyDescent="0.25">
      <c r="A123" s="6"/>
      <c r="C123" s="3"/>
    </row>
    <row r="124" spans="1:3" ht="15.75" thickBot="1" x14ac:dyDescent="0.3">
      <c r="A124" s="5">
        <v>158</v>
      </c>
      <c r="C124" s="5">
        <v>240</v>
      </c>
    </row>
    <row r="125" spans="1:3" x14ac:dyDescent="0.25">
      <c r="A125" s="6"/>
      <c r="C125" s="3"/>
    </row>
    <row r="126" spans="1:3" ht="15.75" thickBot="1" x14ac:dyDescent="0.3">
      <c r="A126" s="5">
        <v>159</v>
      </c>
      <c r="C126" s="5">
        <v>241</v>
      </c>
    </row>
    <row r="127" spans="1:3" x14ac:dyDescent="0.25">
      <c r="A127" s="6"/>
      <c r="C127" s="3"/>
    </row>
    <row r="128" spans="1:3" ht="15.75" thickBot="1" x14ac:dyDescent="0.3">
      <c r="A128" s="5">
        <v>160</v>
      </c>
      <c r="C128" s="5">
        <v>241</v>
      </c>
    </row>
    <row r="129" spans="1:3" x14ac:dyDescent="0.25">
      <c r="A129" s="6"/>
      <c r="C129" s="3"/>
    </row>
    <row r="130" spans="1:3" ht="15.75" thickBot="1" x14ac:dyDescent="0.3">
      <c r="A130" s="5">
        <v>161</v>
      </c>
      <c r="C130" s="5">
        <v>241</v>
      </c>
    </row>
    <row r="131" spans="1:3" x14ac:dyDescent="0.25">
      <c r="A131" s="6"/>
      <c r="C131" s="3"/>
    </row>
    <row r="132" spans="1:3" ht="15.75" thickBot="1" x14ac:dyDescent="0.3">
      <c r="A132" s="5">
        <v>162</v>
      </c>
      <c r="C132" s="5">
        <v>242</v>
      </c>
    </row>
    <row r="133" spans="1:3" x14ac:dyDescent="0.25">
      <c r="A133" s="6"/>
      <c r="C133" s="3"/>
    </row>
    <row r="134" spans="1:3" ht="15.75" thickBot="1" x14ac:dyDescent="0.3">
      <c r="A134" s="5">
        <v>163</v>
      </c>
      <c r="C134" s="5">
        <v>242</v>
      </c>
    </row>
    <row r="135" spans="1:3" x14ac:dyDescent="0.25">
      <c r="A135" s="6"/>
      <c r="C135" s="3"/>
    </row>
    <row r="136" spans="1:3" ht="15.75" thickBot="1" x14ac:dyDescent="0.3">
      <c r="A136" s="5">
        <v>164</v>
      </c>
      <c r="C136" s="5">
        <v>243</v>
      </c>
    </row>
    <row r="137" spans="1:3" x14ac:dyDescent="0.25">
      <c r="A137" s="6"/>
      <c r="C137" s="3"/>
    </row>
    <row r="138" spans="1:3" ht="15.75" thickBot="1" x14ac:dyDescent="0.3">
      <c r="A138" s="5">
        <v>165</v>
      </c>
      <c r="C138" s="5">
        <v>244</v>
      </c>
    </row>
    <row r="139" spans="1:3" x14ac:dyDescent="0.25">
      <c r="A139" s="6"/>
      <c r="C139" s="3"/>
    </row>
    <row r="140" spans="1:3" ht="15.75" thickBot="1" x14ac:dyDescent="0.3">
      <c r="A140" s="5">
        <v>166</v>
      </c>
      <c r="C140" s="5">
        <v>244</v>
      </c>
    </row>
    <row r="141" spans="1:3" x14ac:dyDescent="0.25">
      <c r="A141" s="6"/>
      <c r="C141" s="3"/>
    </row>
    <row r="142" spans="1:3" ht="15.75" thickBot="1" x14ac:dyDescent="0.3">
      <c r="A142" s="5">
        <v>167</v>
      </c>
      <c r="C142" s="5">
        <v>244</v>
      </c>
    </row>
    <row r="143" spans="1:3" x14ac:dyDescent="0.25">
      <c r="A143" s="6"/>
      <c r="C143" s="3"/>
    </row>
    <row r="144" spans="1:3" ht="15.75" thickBot="1" x14ac:dyDescent="0.3">
      <c r="A144" s="5">
        <v>168</v>
      </c>
      <c r="C144" s="5">
        <v>245</v>
      </c>
    </row>
    <row r="145" spans="1:3" x14ac:dyDescent="0.25">
      <c r="A145" s="6"/>
      <c r="C145" s="3"/>
    </row>
    <row r="146" spans="1:3" ht="15.75" thickBot="1" x14ac:dyDescent="0.3">
      <c r="A146" s="5">
        <v>169</v>
      </c>
      <c r="C146" s="5">
        <v>245</v>
      </c>
    </row>
    <row r="147" spans="1:3" x14ac:dyDescent="0.25">
      <c r="A147" s="6"/>
      <c r="C147" s="3"/>
    </row>
    <row r="148" spans="1:3" ht="15.75" thickBot="1" x14ac:dyDescent="0.3">
      <c r="A148" s="5">
        <v>170</v>
      </c>
      <c r="C148" s="5">
        <v>246</v>
      </c>
    </row>
    <row r="149" spans="1:3" x14ac:dyDescent="0.25">
      <c r="A149" s="6"/>
      <c r="C149" s="3"/>
    </row>
    <row r="150" spans="1:3" ht="15.75" thickBot="1" x14ac:dyDescent="0.3">
      <c r="A150" s="5">
        <v>171</v>
      </c>
      <c r="C150" s="5">
        <v>246</v>
      </c>
    </row>
    <row r="151" spans="1:3" x14ac:dyDescent="0.25">
      <c r="A151" s="6"/>
      <c r="C151" s="3"/>
    </row>
    <row r="152" spans="1:3" ht="15.75" thickBot="1" x14ac:dyDescent="0.3">
      <c r="A152" s="5">
        <v>172</v>
      </c>
      <c r="C152" s="5">
        <v>246</v>
      </c>
    </row>
    <row r="153" spans="1:3" x14ac:dyDescent="0.25">
      <c r="A153" s="6"/>
      <c r="C153" s="3"/>
    </row>
    <row r="154" spans="1:3" ht="15.75" thickBot="1" x14ac:dyDescent="0.3">
      <c r="A154" s="5">
        <v>173</v>
      </c>
      <c r="C154" s="5">
        <v>247</v>
      </c>
    </row>
    <row r="155" spans="1:3" x14ac:dyDescent="0.25">
      <c r="A155" s="6"/>
      <c r="C155" s="3"/>
    </row>
    <row r="156" spans="1:3" ht="15.75" thickBot="1" x14ac:dyDescent="0.3">
      <c r="A156" s="5">
        <v>174</v>
      </c>
      <c r="C156" s="5">
        <v>247</v>
      </c>
    </row>
    <row r="157" spans="1:3" x14ac:dyDescent="0.25">
      <c r="A157" s="6"/>
      <c r="C157" s="3"/>
    </row>
    <row r="158" spans="1:3" ht="15.75" thickBot="1" x14ac:dyDescent="0.3">
      <c r="A158" s="5">
        <v>175</v>
      </c>
      <c r="C158" s="5">
        <v>247</v>
      </c>
    </row>
    <row r="159" spans="1:3" x14ac:dyDescent="0.25">
      <c r="A159" s="6"/>
      <c r="C159" s="3"/>
    </row>
    <row r="160" spans="1:3" ht="15.75" thickBot="1" x14ac:dyDescent="0.3">
      <c r="A160" s="5">
        <v>176</v>
      </c>
      <c r="C160" s="5">
        <v>248</v>
      </c>
    </row>
    <row r="161" spans="1:3" x14ac:dyDescent="0.25">
      <c r="A161" s="6"/>
      <c r="C161" s="3"/>
    </row>
    <row r="162" spans="1:3" ht="15.75" thickBot="1" x14ac:dyDescent="0.3">
      <c r="A162" s="5">
        <v>177</v>
      </c>
      <c r="C162" s="5">
        <v>248</v>
      </c>
    </row>
    <row r="163" spans="1:3" x14ac:dyDescent="0.25">
      <c r="A163" s="6"/>
      <c r="C163" s="3"/>
    </row>
    <row r="164" spans="1:3" ht="15.75" thickBot="1" x14ac:dyDescent="0.3">
      <c r="A164" s="5">
        <v>178</v>
      </c>
      <c r="C164" s="5">
        <v>248</v>
      </c>
    </row>
    <row r="165" spans="1:3" x14ac:dyDescent="0.25">
      <c r="A165" s="6"/>
      <c r="C165" s="3"/>
    </row>
    <row r="166" spans="1:3" ht="15.75" thickBot="1" x14ac:dyDescent="0.3">
      <c r="A166" s="5">
        <v>179</v>
      </c>
      <c r="C166" s="5">
        <v>249</v>
      </c>
    </row>
    <row r="167" spans="1:3" x14ac:dyDescent="0.25">
      <c r="A167" s="6"/>
      <c r="C167" s="3"/>
    </row>
    <row r="168" spans="1:3" ht="15.75" thickBot="1" x14ac:dyDescent="0.3">
      <c r="A168" s="5">
        <v>180</v>
      </c>
      <c r="C168" s="5">
        <v>249</v>
      </c>
    </row>
    <row r="169" spans="1:3" x14ac:dyDescent="0.25">
      <c r="A169" s="6"/>
      <c r="C169" s="3"/>
    </row>
    <row r="170" spans="1:3" ht="15.75" thickBot="1" x14ac:dyDescent="0.3">
      <c r="A170" s="5">
        <v>181</v>
      </c>
      <c r="C170" s="5">
        <v>250</v>
      </c>
    </row>
    <row r="171" spans="1:3" x14ac:dyDescent="0.25">
      <c r="A171" s="6"/>
      <c r="C171" s="3"/>
    </row>
    <row r="172" spans="1:3" ht="15.75" thickBot="1" x14ac:dyDescent="0.3">
      <c r="A172" s="5">
        <v>182</v>
      </c>
      <c r="C172" s="5">
        <v>251</v>
      </c>
    </row>
    <row r="173" spans="1:3" x14ac:dyDescent="0.25">
      <c r="A173" s="6"/>
      <c r="C173" s="3"/>
    </row>
    <row r="174" spans="1:3" ht="15.75" thickBot="1" x14ac:dyDescent="0.3">
      <c r="A174" s="5">
        <v>183</v>
      </c>
      <c r="C174" s="5">
        <v>251</v>
      </c>
    </row>
    <row r="175" spans="1:3" x14ac:dyDescent="0.25">
      <c r="A175" s="6"/>
      <c r="C175" s="3"/>
    </row>
    <row r="176" spans="1:3" ht="15.75" thickBot="1" x14ac:dyDescent="0.3">
      <c r="A176" s="5">
        <v>184</v>
      </c>
      <c r="C176" s="5">
        <v>252</v>
      </c>
    </row>
    <row r="177" spans="1:3" x14ac:dyDescent="0.25">
      <c r="A177" s="6"/>
      <c r="C177" s="3"/>
    </row>
    <row r="178" spans="1:3" ht="15.75" thickBot="1" x14ac:dyDescent="0.3">
      <c r="A178" s="5">
        <v>185</v>
      </c>
      <c r="C178" s="5">
        <v>252</v>
      </c>
    </row>
    <row r="179" spans="1:3" x14ac:dyDescent="0.25">
      <c r="A179" s="6"/>
      <c r="C179" s="3"/>
    </row>
    <row r="180" spans="1:3" ht="15.75" thickBot="1" x14ac:dyDescent="0.3">
      <c r="A180" s="5">
        <v>186</v>
      </c>
      <c r="C180" s="5">
        <v>252</v>
      </c>
    </row>
    <row r="181" spans="1:3" x14ac:dyDescent="0.25">
      <c r="A181" s="6"/>
      <c r="C181" s="3"/>
    </row>
    <row r="182" spans="1:3" ht="15.75" thickBot="1" x14ac:dyDescent="0.3">
      <c r="A182" s="5">
        <v>187</v>
      </c>
      <c r="C182" s="5">
        <v>253</v>
      </c>
    </row>
    <row r="183" spans="1:3" x14ac:dyDescent="0.25">
      <c r="A183" s="6"/>
      <c r="C183" s="3"/>
    </row>
    <row r="184" spans="1:3" ht="15.75" thickBot="1" x14ac:dyDescent="0.3">
      <c r="A184" s="5">
        <v>188</v>
      </c>
      <c r="C184" s="5">
        <v>253</v>
      </c>
    </row>
    <row r="185" spans="1:3" x14ac:dyDescent="0.25">
      <c r="A185" s="6"/>
      <c r="C185" s="3"/>
    </row>
    <row r="186" spans="1:3" ht="15.75" thickBot="1" x14ac:dyDescent="0.3">
      <c r="A186" s="5">
        <v>189</v>
      </c>
      <c r="C186" s="5">
        <v>254</v>
      </c>
    </row>
    <row r="187" spans="1:3" x14ac:dyDescent="0.25">
      <c r="A187" s="6"/>
      <c r="C187" s="3"/>
    </row>
    <row r="188" spans="1:3" ht="15.75" thickBot="1" x14ac:dyDescent="0.3">
      <c r="A188" s="5">
        <v>190</v>
      </c>
      <c r="C188" s="5">
        <v>255</v>
      </c>
    </row>
    <row r="189" spans="1:3" x14ac:dyDescent="0.25">
      <c r="A189" s="6"/>
      <c r="C189" s="3"/>
    </row>
    <row r="190" spans="1:3" ht="15.75" thickBot="1" x14ac:dyDescent="0.3">
      <c r="A190" s="5">
        <v>191</v>
      </c>
      <c r="C190" s="5">
        <v>256</v>
      </c>
    </row>
    <row r="191" spans="1:3" x14ac:dyDescent="0.25">
      <c r="A191" s="6"/>
      <c r="C191" s="3"/>
    </row>
    <row r="192" spans="1:3" ht="15.75" thickBot="1" x14ac:dyDescent="0.3">
      <c r="A192" s="5">
        <v>192</v>
      </c>
      <c r="C192" s="5">
        <v>257</v>
      </c>
    </row>
    <row r="193" spans="1:3" x14ac:dyDescent="0.25">
      <c r="A193" s="6"/>
      <c r="C193" s="3"/>
    </row>
    <row r="194" spans="1:3" ht="15.75" thickBot="1" x14ac:dyDescent="0.3">
      <c r="A194" s="5">
        <v>193</v>
      </c>
      <c r="C194" s="5">
        <v>258</v>
      </c>
    </row>
    <row r="195" spans="1:3" x14ac:dyDescent="0.25">
      <c r="A195" s="6"/>
      <c r="C195" s="3"/>
    </row>
    <row r="196" spans="1:3" ht="15.75" thickBot="1" x14ac:dyDescent="0.3">
      <c r="A196" s="5">
        <v>194</v>
      </c>
      <c r="C196" s="5">
        <v>259</v>
      </c>
    </row>
    <row r="197" spans="1:3" x14ac:dyDescent="0.25">
      <c r="A197" s="6"/>
      <c r="C197" s="3"/>
    </row>
    <row r="198" spans="1:3" ht="15.75" thickBot="1" x14ac:dyDescent="0.3">
      <c r="A198" s="5">
        <v>195</v>
      </c>
      <c r="C198" s="5">
        <v>260</v>
      </c>
    </row>
    <row r="199" spans="1:3" x14ac:dyDescent="0.25">
      <c r="A199" s="6"/>
      <c r="C199" s="3"/>
    </row>
    <row r="200" spans="1:3" ht="15.75" thickBot="1" x14ac:dyDescent="0.3">
      <c r="A200" s="5">
        <v>196</v>
      </c>
      <c r="C200" s="5">
        <v>261</v>
      </c>
    </row>
    <row r="201" spans="1:3" x14ac:dyDescent="0.25">
      <c r="A201" s="6"/>
      <c r="C201" s="3"/>
    </row>
    <row r="202" spans="1:3" ht="15.75" thickBot="1" x14ac:dyDescent="0.3">
      <c r="A202" s="5">
        <v>197</v>
      </c>
      <c r="C202" s="5">
        <v>262</v>
      </c>
    </row>
    <row r="203" spans="1:3" x14ac:dyDescent="0.25">
      <c r="A203" s="6"/>
      <c r="C203" s="3"/>
    </row>
    <row r="204" spans="1:3" ht="15.75" thickBot="1" x14ac:dyDescent="0.3">
      <c r="A204" s="5">
        <v>198</v>
      </c>
      <c r="C204" s="5">
        <v>263</v>
      </c>
    </row>
    <row r="205" spans="1:3" x14ac:dyDescent="0.25">
      <c r="A205" s="6"/>
      <c r="C205" s="3"/>
    </row>
    <row r="206" spans="1:3" ht="15.75" thickBot="1" x14ac:dyDescent="0.3">
      <c r="A206" s="5">
        <v>199</v>
      </c>
      <c r="C206" s="5">
        <v>264</v>
      </c>
    </row>
    <row r="207" spans="1:3" x14ac:dyDescent="0.25">
      <c r="A207" s="6"/>
      <c r="C207" s="3"/>
    </row>
    <row r="208" spans="1:3" ht="15.75" thickBot="1" x14ac:dyDescent="0.3">
      <c r="A208" s="5">
        <v>200</v>
      </c>
      <c r="C208" s="5">
        <v>265</v>
      </c>
    </row>
    <row r="209" spans="1:3" x14ac:dyDescent="0.25">
      <c r="A209" s="6"/>
      <c r="C209" s="3"/>
    </row>
    <row r="210" spans="1:3" ht="15.75" thickBot="1" x14ac:dyDescent="0.3">
      <c r="A210" s="5">
        <v>201</v>
      </c>
      <c r="C210" s="5">
        <v>266</v>
      </c>
    </row>
    <row r="211" spans="1:3" x14ac:dyDescent="0.25">
      <c r="A211" s="6"/>
      <c r="C211" s="3"/>
    </row>
    <row r="212" spans="1:3" ht="15.75" thickBot="1" x14ac:dyDescent="0.3">
      <c r="A212" s="5">
        <v>202</v>
      </c>
      <c r="C212" s="5">
        <v>267</v>
      </c>
    </row>
    <row r="213" spans="1:3" x14ac:dyDescent="0.25">
      <c r="A213" s="6"/>
      <c r="C213" s="3"/>
    </row>
    <row r="214" spans="1:3" ht="15.75" thickBot="1" x14ac:dyDescent="0.3">
      <c r="A214" s="5">
        <v>203</v>
      </c>
      <c r="C214" s="5">
        <v>268</v>
      </c>
    </row>
    <row r="215" spans="1:3" x14ac:dyDescent="0.25">
      <c r="A215" s="6"/>
      <c r="C215" s="3"/>
    </row>
    <row r="216" spans="1:3" ht="15.75" thickBot="1" x14ac:dyDescent="0.3">
      <c r="A216" s="5">
        <v>204</v>
      </c>
      <c r="C216" s="5">
        <v>269</v>
      </c>
    </row>
    <row r="217" spans="1:3" x14ac:dyDescent="0.25">
      <c r="A217" s="6"/>
      <c r="C217" s="3"/>
    </row>
    <row r="218" spans="1:3" ht="15.75" thickBot="1" x14ac:dyDescent="0.3">
      <c r="A218" s="5">
        <v>205</v>
      </c>
      <c r="C218" s="5">
        <v>270</v>
      </c>
    </row>
    <row r="219" spans="1:3" x14ac:dyDescent="0.25">
      <c r="A219" s="6"/>
      <c r="C219" s="3"/>
    </row>
    <row r="220" spans="1:3" ht="15.75" thickBot="1" x14ac:dyDescent="0.3">
      <c r="A220" s="5">
        <v>206</v>
      </c>
      <c r="C220" s="5">
        <v>271</v>
      </c>
    </row>
    <row r="221" spans="1:3" x14ac:dyDescent="0.25">
      <c r="A221" s="6"/>
      <c r="C221" s="3"/>
    </row>
    <row r="222" spans="1:3" ht="15.75" thickBot="1" x14ac:dyDescent="0.3">
      <c r="A222" s="5">
        <v>207</v>
      </c>
      <c r="C222" s="5">
        <v>272</v>
      </c>
    </row>
    <row r="223" spans="1:3" x14ac:dyDescent="0.25">
      <c r="A223" s="6"/>
      <c r="C223" s="3"/>
    </row>
    <row r="224" spans="1:3" ht="15.75" thickBot="1" x14ac:dyDescent="0.3">
      <c r="A224" s="5">
        <v>208</v>
      </c>
      <c r="C224" s="5">
        <v>273</v>
      </c>
    </row>
    <row r="225" spans="1:3" x14ac:dyDescent="0.25">
      <c r="A225" s="6"/>
      <c r="C225" s="3"/>
    </row>
    <row r="226" spans="1:3" ht="15.75" thickBot="1" x14ac:dyDescent="0.3">
      <c r="A226" s="5">
        <v>209</v>
      </c>
      <c r="C226" s="5">
        <v>274</v>
      </c>
    </row>
    <row r="227" spans="1:3" x14ac:dyDescent="0.25">
      <c r="A227" s="6"/>
      <c r="C227" s="3"/>
    </row>
    <row r="228" spans="1:3" ht="15.75" thickBot="1" x14ac:dyDescent="0.3">
      <c r="A228" s="5">
        <v>210</v>
      </c>
      <c r="C228" s="5">
        <v>275</v>
      </c>
    </row>
    <row r="229" spans="1:3" x14ac:dyDescent="0.25">
      <c r="A229" s="6"/>
      <c r="C229" s="3"/>
    </row>
    <row r="230" spans="1:3" ht="15.75" thickBot="1" x14ac:dyDescent="0.3">
      <c r="A230" s="5">
        <v>211</v>
      </c>
      <c r="C230" s="5">
        <v>276</v>
      </c>
    </row>
    <row r="231" spans="1:3" x14ac:dyDescent="0.25">
      <c r="A231" s="6"/>
      <c r="C231" s="3"/>
    </row>
    <row r="232" spans="1:3" ht="15.75" thickBot="1" x14ac:dyDescent="0.3">
      <c r="A232" s="5">
        <v>212</v>
      </c>
      <c r="C232" s="5">
        <v>277</v>
      </c>
    </row>
    <row r="233" spans="1:3" x14ac:dyDescent="0.25">
      <c r="A233" s="6"/>
      <c r="C233" s="3"/>
    </row>
    <row r="234" spans="1:3" ht="15.75" thickBot="1" x14ac:dyDescent="0.3">
      <c r="A234" s="5">
        <v>213</v>
      </c>
      <c r="C234" s="5">
        <v>278</v>
      </c>
    </row>
    <row r="235" spans="1:3" x14ac:dyDescent="0.25">
      <c r="A235" s="6"/>
      <c r="C235" s="3"/>
    </row>
    <row r="236" spans="1:3" ht="15.75" thickBot="1" x14ac:dyDescent="0.3">
      <c r="A236" s="5">
        <v>214</v>
      </c>
      <c r="C236" s="5">
        <v>279</v>
      </c>
    </row>
    <row r="237" spans="1:3" x14ac:dyDescent="0.25">
      <c r="A237" s="6"/>
      <c r="C237" s="3"/>
    </row>
    <row r="238" spans="1:3" ht="15.75" thickBot="1" x14ac:dyDescent="0.3">
      <c r="A238" s="5">
        <v>215</v>
      </c>
      <c r="C238" s="5">
        <v>280</v>
      </c>
    </row>
    <row r="239" spans="1:3" x14ac:dyDescent="0.25">
      <c r="A239" s="6"/>
      <c r="C239" s="3"/>
    </row>
    <row r="240" spans="1:3" ht="15.75" thickBot="1" x14ac:dyDescent="0.3">
      <c r="A240" s="5">
        <v>216</v>
      </c>
      <c r="C240" s="5">
        <v>281</v>
      </c>
    </row>
    <row r="241" spans="1:3" x14ac:dyDescent="0.25">
      <c r="A241" s="6"/>
      <c r="C241" s="3"/>
    </row>
    <row r="242" spans="1:3" ht="15.75" thickBot="1" x14ac:dyDescent="0.3">
      <c r="A242" s="5">
        <v>217</v>
      </c>
      <c r="C242" s="5">
        <v>282</v>
      </c>
    </row>
    <row r="243" spans="1:3" x14ac:dyDescent="0.25">
      <c r="A243" s="6"/>
      <c r="C243" s="3"/>
    </row>
    <row r="244" spans="1:3" ht="15.75" thickBot="1" x14ac:dyDescent="0.3">
      <c r="A244" s="5">
        <v>218</v>
      </c>
      <c r="C244" s="5">
        <v>283</v>
      </c>
    </row>
    <row r="245" spans="1:3" x14ac:dyDescent="0.25">
      <c r="A245" s="6"/>
      <c r="C245" s="3"/>
    </row>
    <row r="246" spans="1:3" ht="15.75" thickBot="1" x14ac:dyDescent="0.3">
      <c r="A246" s="5">
        <v>219</v>
      </c>
      <c r="C246" s="5">
        <v>284</v>
      </c>
    </row>
    <row r="247" spans="1:3" x14ac:dyDescent="0.25">
      <c r="A247" s="6"/>
      <c r="C247" s="3"/>
    </row>
    <row r="248" spans="1:3" ht="15.75" thickBot="1" x14ac:dyDescent="0.3">
      <c r="A248" s="5">
        <v>220</v>
      </c>
      <c r="C248" s="5">
        <v>285</v>
      </c>
    </row>
    <row r="249" spans="1:3" x14ac:dyDescent="0.25">
      <c r="A249" s="6"/>
      <c r="C249" s="3"/>
    </row>
    <row r="250" spans="1:3" ht="15.75" thickBot="1" x14ac:dyDescent="0.3">
      <c r="A250" s="5">
        <v>221</v>
      </c>
      <c r="C250" s="5">
        <v>286</v>
      </c>
    </row>
    <row r="251" spans="1:3" x14ac:dyDescent="0.25">
      <c r="A251" s="6"/>
      <c r="C251" s="3"/>
    </row>
    <row r="252" spans="1:3" ht="15.75" thickBot="1" x14ac:dyDescent="0.3">
      <c r="A252" s="5">
        <v>222</v>
      </c>
      <c r="C252" s="5">
        <v>287</v>
      </c>
    </row>
    <row r="253" spans="1:3" x14ac:dyDescent="0.25">
      <c r="A253" s="6"/>
      <c r="C253" s="3"/>
    </row>
    <row r="254" spans="1:3" ht="15.75" thickBot="1" x14ac:dyDescent="0.3">
      <c r="A254" s="5">
        <v>223</v>
      </c>
      <c r="C254" s="5">
        <v>288</v>
      </c>
    </row>
    <row r="255" spans="1:3" x14ac:dyDescent="0.25">
      <c r="A255" s="6"/>
      <c r="C255" s="3"/>
    </row>
    <row r="256" spans="1:3" ht="15.75" thickBot="1" x14ac:dyDescent="0.3">
      <c r="A256" s="5">
        <v>224</v>
      </c>
      <c r="C256" s="5">
        <v>289</v>
      </c>
    </row>
    <row r="257" spans="1:3" x14ac:dyDescent="0.25">
      <c r="A257" s="6"/>
      <c r="C257" s="3"/>
    </row>
    <row r="258" spans="1:3" ht="15.75" thickBot="1" x14ac:dyDescent="0.3">
      <c r="A258" s="5">
        <v>225</v>
      </c>
      <c r="C258" s="5">
        <v>290</v>
      </c>
    </row>
    <row r="259" spans="1:3" x14ac:dyDescent="0.25">
      <c r="A259" s="6"/>
      <c r="C259" s="3"/>
    </row>
    <row r="260" spans="1:3" ht="15.75" thickBot="1" x14ac:dyDescent="0.3">
      <c r="A260" s="5">
        <v>226</v>
      </c>
      <c r="C260" s="5">
        <v>291</v>
      </c>
    </row>
    <row r="261" spans="1:3" x14ac:dyDescent="0.25">
      <c r="A261" s="6"/>
      <c r="C261" s="3"/>
    </row>
    <row r="262" spans="1:3" ht="15.75" thickBot="1" x14ac:dyDescent="0.3">
      <c r="A262" s="5">
        <v>227</v>
      </c>
      <c r="C262" s="5">
        <v>292</v>
      </c>
    </row>
    <row r="263" spans="1:3" x14ac:dyDescent="0.25">
      <c r="A263" s="6"/>
      <c r="C263" s="3"/>
    </row>
    <row r="264" spans="1:3" ht="15.75" thickBot="1" x14ac:dyDescent="0.3">
      <c r="A264" s="5">
        <v>228</v>
      </c>
      <c r="C264" s="5">
        <v>293</v>
      </c>
    </row>
    <row r="265" spans="1:3" x14ac:dyDescent="0.25">
      <c r="A265" s="6"/>
      <c r="C265" s="3"/>
    </row>
    <row r="266" spans="1:3" ht="15.75" thickBot="1" x14ac:dyDescent="0.3">
      <c r="A266" s="5">
        <v>229</v>
      </c>
      <c r="C266" s="5">
        <v>294</v>
      </c>
    </row>
    <row r="267" spans="1:3" x14ac:dyDescent="0.25">
      <c r="A267" s="6"/>
      <c r="C267" s="3"/>
    </row>
    <row r="268" spans="1:3" ht="15.75" thickBot="1" x14ac:dyDescent="0.3">
      <c r="A268" s="5">
        <v>230</v>
      </c>
      <c r="C268" s="5">
        <v>295</v>
      </c>
    </row>
    <row r="269" spans="1:3" x14ac:dyDescent="0.25">
      <c r="A269" s="6"/>
      <c r="C269" s="3"/>
    </row>
    <row r="270" spans="1:3" ht="15.75" thickBot="1" x14ac:dyDescent="0.3">
      <c r="A270" s="5">
        <v>231</v>
      </c>
      <c r="C270" s="5">
        <v>296</v>
      </c>
    </row>
    <row r="271" spans="1:3" x14ac:dyDescent="0.25">
      <c r="A271" s="6"/>
      <c r="C271" s="3"/>
    </row>
    <row r="272" spans="1:3" ht="15.75" thickBot="1" x14ac:dyDescent="0.3">
      <c r="A272" s="5">
        <v>232</v>
      </c>
      <c r="C272" s="5">
        <v>297</v>
      </c>
    </row>
    <row r="273" spans="1:3" x14ac:dyDescent="0.25">
      <c r="A273" s="6"/>
      <c r="C273" s="3"/>
    </row>
    <row r="274" spans="1:3" ht="15.75" thickBot="1" x14ac:dyDescent="0.3">
      <c r="A274" s="5">
        <v>233</v>
      </c>
      <c r="C274" s="5">
        <v>298</v>
      </c>
    </row>
    <row r="275" spans="1:3" x14ac:dyDescent="0.25">
      <c r="A275" s="6"/>
      <c r="C275" s="3"/>
    </row>
    <row r="276" spans="1:3" ht="15.75" thickBot="1" x14ac:dyDescent="0.3">
      <c r="A276" s="5">
        <v>234</v>
      </c>
      <c r="C276" s="5">
        <v>299</v>
      </c>
    </row>
    <row r="277" spans="1:3" x14ac:dyDescent="0.25">
      <c r="A277" s="6"/>
      <c r="C277" s="3"/>
    </row>
    <row r="278" spans="1:3" ht="15.75" thickBot="1" x14ac:dyDescent="0.3">
      <c r="A278" s="5">
        <v>235</v>
      </c>
      <c r="C278" s="5">
        <v>300</v>
      </c>
    </row>
    <row r="279" spans="1:3" x14ac:dyDescent="0.25">
      <c r="A279" s="6"/>
      <c r="C279" s="3"/>
    </row>
    <row r="280" spans="1:3" ht="15.75" thickBot="1" x14ac:dyDescent="0.3">
      <c r="A280" s="5">
        <v>236</v>
      </c>
      <c r="C280" s="5">
        <v>301</v>
      </c>
    </row>
    <row r="281" spans="1:3" x14ac:dyDescent="0.25">
      <c r="A281" s="6"/>
      <c r="C281" s="3"/>
    </row>
    <row r="282" spans="1:3" ht="15.75" thickBot="1" x14ac:dyDescent="0.3">
      <c r="A282" s="5">
        <v>237</v>
      </c>
      <c r="C282" s="5">
        <v>302</v>
      </c>
    </row>
    <row r="283" spans="1:3" x14ac:dyDescent="0.25">
      <c r="A283" s="6"/>
      <c r="C283" s="3"/>
    </row>
    <row r="284" spans="1:3" ht="15.75" thickBot="1" x14ac:dyDescent="0.3">
      <c r="A284" s="5">
        <v>238</v>
      </c>
      <c r="C284" s="5">
        <v>303</v>
      </c>
    </row>
    <row r="285" spans="1:3" x14ac:dyDescent="0.25">
      <c r="A285" s="6"/>
      <c r="C285" s="3"/>
    </row>
    <row r="286" spans="1:3" ht="15.75" thickBot="1" x14ac:dyDescent="0.3">
      <c r="A286" s="5">
        <v>239</v>
      </c>
      <c r="C286" s="5">
        <v>304</v>
      </c>
    </row>
    <row r="287" spans="1:3" x14ac:dyDescent="0.25">
      <c r="A287" s="6"/>
      <c r="C287" s="3"/>
    </row>
    <row r="288" spans="1:3" ht="15.75" thickBot="1" x14ac:dyDescent="0.3">
      <c r="A288" s="5">
        <v>240</v>
      </c>
      <c r="C288" s="5">
        <v>305</v>
      </c>
    </row>
    <row r="289" spans="1:3" x14ac:dyDescent="0.25">
      <c r="A289" s="6"/>
      <c r="C289" s="3"/>
    </row>
    <row r="290" spans="1:3" ht="15.75" thickBot="1" x14ac:dyDescent="0.3">
      <c r="A290" s="5">
        <v>241</v>
      </c>
      <c r="C290" s="5">
        <v>306</v>
      </c>
    </row>
    <row r="291" spans="1:3" x14ac:dyDescent="0.25">
      <c r="A291" s="6"/>
      <c r="C291" s="3"/>
    </row>
    <row r="292" spans="1:3" ht="15.75" thickBot="1" x14ac:dyDescent="0.3">
      <c r="A292" s="5">
        <v>242</v>
      </c>
      <c r="C292" s="5">
        <v>307</v>
      </c>
    </row>
    <row r="293" spans="1:3" x14ac:dyDescent="0.25">
      <c r="A293" s="6"/>
      <c r="C293" s="3"/>
    </row>
    <row r="294" spans="1:3" ht="15.75" thickBot="1" x14ac:dyDescent="0.3">
      <c r="A294" s="5">
        <v>243</v>
      </c>
      <c r="C294" s="5">
        <v>308</v>
      </c>
    </row>
    <row r="295" spans="1:3" x14ac:dyDescent="0.25">
      <c r="A295" s="6"/>
      <c r="C295" s="3"/>
    </row>
    <row r="296" spans="1:3" ht="15.75" thickBot="1" x14ac:dyDescent="0.3">
      <c r="A296" s="5">
        <v>244</v>
      </c>
      <c r="C296" s="5">
        <v>309</v>
      </c>
    </row>
    <row r="297" spans="1:3" x14ac:dyDescent="0.25">
      <c r="A297" s="6"/>
      <c r="C297" s="3"/>
    </row>
    <row r="298" spans="1:3" ht="15.75" thickBot="1" x14ac:dyDescent="0.3">
      <c r="A298" s="5">
        <v>245</v>
      </c>
      <c r="C298" s="5">
        <v>309</v>
      </c>
    </row>
    <row r="299" spans="1:3" x14ac:dyDescent="0.25">
      <c r="A299" s="6"/>
      <c r="C299" s="3"/>
    </row>
    <row r="300" spans="1:3" ht="15.75" thickBot="1" x14ac:dyDescent="0.3">
      <c r="A300" s="5">
        <v>246</v>
      </c>
      <c r="C300" s="5">
        <v>309</v>
      </c>
    </row>
    <row r="301" spans="1:3" x14ac:dyDescent="0.25">
      <c r="A301" s="6"/>
      <c r="C301" s="3"/>
    </row>
    <row r="302" spans="1:3" ht="15.75" thickBot="1" x14ac:dyDescent="0.3">
      <c r="A302" s="5">
        <v>247</v>
      </c>
      <c r="C302" s="5">
        <v>309</v>
      </c>
    </row>
    <row r="303" spans="1:3" x14ac:dyDescent="0.25">
      <c r="A303" s="6"/>
      <c r="C303" s="3"/>
    </row>
    <row r="304" spans="1:3" ht="15.75" thickBot="1" x14ac:dyDescent="0.3">
      <c r="A304" s="5">
        <v>248</v>
      </c>
      <c r="C304" s="5">
        <v>309</v>
      </c>
    </row>
    <row r="305" spans="1:3" x14ac:dyDescent="0.25">
      <c r="A305" s="6"/>
      <c r="C305" s="3"/>
    </row>
    <row r="306" spans="1:3" ht="15.75" thickBot="1" x14ac:dyDescent="0.3">
      <c r="A306" s="5">
        <v>249</v>
      </c>
      <c r="C306" s="5">
        <v>309</v>
      </c>
    </row>
    <row r="307" spans="1:3" x14ac:dyDescent="0.25">
      <c r="A307" s="6"/>
      <c r="C307" s="3"/>
    </row>
    <row r="308" spans="1:3" ht="15.75" thickBot="1" x14ac:dyDescent="0.3">
      <c r="A308" s="5">
        <v>250</v>
      </c>
      <c r="C308" s="5">
        <v>309</v>
      </c>
    </row>
    <row r="309" spans="1:3" x14ac:dyDescent="0.25">
      <c r="A309" s="6"/>
      <c r="C309" s="3"/>
    </row>
    <row r="310" spans="1:3" ht="15.75" thickBot="1" x14ac:dyDescent="0.3">
      <c r="A310" s="5">
        <v>251</v>
      </c>
      <c r="C310" s="5">
        <v>309</v>
      </c>
    </row>
    <row r="311" spans="1:3" x14ac:dyDescent="0.25">
      <c r="A311" s="6"/>
      <c r="C311" s="3"/>
    </row>
    <row r="312" spans="1:3" ht="15.75" thickBot="1" x14ac:dyDescent="0.3">
      <c r="A312" s="5">
        <v>252</v>
      </c>
      <c r="C312" s="5">
        <v>309</v>
      </c>
    </row>
    <row r="313" spans="1:3" x14ac:dyDescent="0.25">
      <c r="A313" s="6"/>
      <c r="C313" s="3"/>
    </row>
    <row r="314" spans="1:3" ht="15.75" thickBot="1" x14ac:dyDescent="0.3">
      <c r="A314" s="5">
        <v>253</v>
      </c>
      <c r="C314" s="5">
        <v>309</v>
      </c>
    </row>
    <row r="315" spans="1:3" x14ac:dyDescent="0.25">
      <c r="A315" s="6"/>
      <c r="C315" s="3"/>
    </row>
    <row r="316" spans="1:3" ht="15.75" thickBot="1" x14ac:dyDescent="0.3">
      <c r="A316" s="5">
        <v>254</v>
      </c>
      <c r="C316" s="5">
        <v>309</v>
      </c>
    </row>
    <row r="317" spans="1:3" x14ac:dyDescent="0.25">
      <c r="A317" s="6"/>
      <c r="C317" s="3"/>
    </row>
    <row r="318" spans="1:3" ht="15.75" thickBot="1" x14ac:dyDescent="0.3">
      <c r="A318" s="5">
        <v>255</v>
      </c>
      <c r="C318" s="5">
        <v>309</v>
      </c>
    </row>
    <row r="319" spans="1:3" x14ac:dyDescent="0.25">
      <c r="A319" s="6"/>
      <c r="C319" s="3"/>
    </row>
    <row r="320" spans="1:3" ht="15.75" thickBot="1" x14ac:dyDescent="0.3">
      <c r="A320" s="5">
        <v>256</v>
      </c>
      <c r="C320" s="5">
        <v>309</v>
      </c>
    </row>
    <row r="321" spans="1:3" x14ac:dyDescent="0.25">
      <c r="A321" s="6"/>
      <c r="C321" s="3"/>
    </row>
    <row r="322" spans="1:3" ht="15.75" thickBot="1" x14ac:dyDescent="0.3">
      <c r="A322" s="5">
        <v>257</v>
      </c>
      <c r="C322" s="5">
        <v>309</v>
      </c>
    </row>
    <row r="323" spans="1:3" x14ac:dyDescent="0.25">
      <c r="A323" s="6"/>
      <c r="C323" s="3"/>
    </row>
    <row r="324" spans="1:3" ht="15.75" thickBot="1" x14ac:dyDescent="0.3">
      <c r="A324" s="5">
        <v>258</v>
      </c>
      <c r="C324" s="5">
        <v>309</v>
      </c>
    </row>
    <row r="325" spans="1:3" x14ac:dyDescent="0.25">
      <c r="A325" s="6"/>
      <c r="C325" s="3"/>
    </row>
    <row r="326" spans="1:3" ht="15.75" thickBot="1" x14ac:dyDescent="0.3">
      <c r="A326" s="5">
        <v>259</v>
      </c>
      <c r="C326" s="5">
        <v>309</v>
      </c>
    </row>
    <row r="327" spans="1:3" x14ac:dyDescent="0.25">
      <c r="A327" s="6"/>
      <c r="C327" s="3"/>
    </row>
    <row r="328" spans="1:3" ht="15.75" thickBot="1" x14ac:dyDescent="0.3">
      <c r="A328" s="5">
        <v>260</v>
      </c>
      <c r="C328" s="5">
        <v>309</v>
      </c>
    </row>
    <row r="329" spans="1:3" x14ac:dyDescent="0.25">
      <c r="A329" s="6"/>
      <c r="C329" s="3"/>
    </row>
    <row r="330" spans="1:3" ht="15.75" thickBot="1" x14ac:dyDescent="0.3">
      <c r="A330" s="5">
        <v>261</v>
      </c>
      <c r="C330" s="5">
        <v>309</v>
      </c>
    </row>
    <row r="331" spans="1:3" x14ac:dyDescent="0.25">
      <c r="A331" s="6"/>
      <c r="C331" s="3"/>
    </row>
    <row r="332" spans="1:3" ht="15.75" thickBot="1" x14ac:dyDescent="0.3">
      <c r="A332" s="5">
        <v>262</v>
      </c>
      <c r="C332" s="5">
        <v>309</v>
      </c>
    </row>
    <row r="333" spans="1:3" x14ac:dyDescent="0.25">
      <c r="A333" s="6"/>
      <c r="C333" s="3"/>
    </row>
    <row r="334" spans="1:3" ht="15.75" thickBot="1" x14ac:dyDescent="0.3">
      <c r="A334" s="5">
        <v>263</v>
      </c>
      <c r="C334" s="5">
        <v>309</v>
      </c>
    </row>
    <row r="335" spans="1:3" x14ac:dyDescent="0.25">
      <c r="A335" s="6"/>
      <c r="C335" s="3"/>
    </row>
    <row r="336" spans="1:3" ht="15.75" thickBot="1" x14ac:dyDescent="0.3">
      <c r="A336" s="5">
        <v>264</v>
      </c>
      <c r="C336" s="5">
        <v>309</v>
      </c>
    </row>
    <row r="337" spans="1:3" x14ac:dyDescent="0.25">
      <c r="A337" s="6"/>
      <c r="C337" s="3"/>
    </row>
    <row r="338" spans="1:3" ht="15.75" thickBot="1" x14ac:dyDescent="0.3">
      <c r="A338" s="5">
        <v>265</v>
      </c>
      <c r="C338" s="5">
        <v>309</v>
      </c>
    </row>
    <row r="339" spans="1:3" x14ac:dyDescent="0.25">
      <c r="A339" s="6"/>
      <c r="C339" s="3"/>
    </row>
    <row r="340" spans="1:3" ht="15.75" thickBot="1" x14ac:dyDescent="0.3">
      <c r="A340" s="5">
        <v>266</v>
      </c>
      <c r="C340" s="5">
        <v>309</v>
      </c>
    </row>
    <row r="341" spans="1:3" x14ac:dyDescent="0.25">
      <c r="A341" s="6"/>
      <c r="C341" s="3"/>
    </row>
    <row r="342" spans="1:3" ht="15.75" thickBot="1" x14ac:dyDescent="0.3">
      <c r="A342" s="5">
        <v>267</v>
      </c>
      <c r="C342" s="5">
        <v>309</v>
      </c>
    </row>
    <row r="343" spans="1:3" x14ac:dyDescent="0.25">
      <c r="A343" s="6"/>
      <c r="C343" s="3"/>
    </row>
    <row r="344" spans="1:3" ht="15.75" thickBot="1" x14ac:dyDescent="0.3">
      <c r="A344" s="5">
        <v>268</v>
      </c>
      <c r="C344" s="5">
        <v>309</v>
      </c>
    </row>
    <row r="345" spans="1:3" x14ac:dyDescent="0.25">
      <c r="A345" s="6"/>
      <c r="C345" s="3"/>
    </row>
    <row r="346" spans="1:3" ht="15.75" thickBot="1" x14ac:dyDescent="0.3">
      <c r="A346" s="5">
        <v>269</v>
      </c>
      <c r="C346" s="5">
        <v>309</v>
      </c>
    </row>
    <row r="347" spans="1:3" x14ac:dyDescent="0.25">
      <c r="A347" s="6"/>
      <c r="C347" s="3"/>
    </row>
    <row r="348" spans="1:3" ht="15.75" thickBot="1" x14ac:dyDescent="0.3">
      <c r="A348" s="5">
        <v>270</v>
      </c>
      <c r="C348" s="5">
        <v>309</v>
      </c>
    </row>
    <row r="349" spans="1:3" x14ac:dyDescent="0.25">
      <c r="A349" s="6"/>
      <c r="C349" s="3"/>
    </row>
    <row r="350" spans="1:3" ht="15.75" thickBot="1" x14ac:dyDescent="0.3">
      <c r="A350" s="5">
        <v>271</v>
      </c>
      <c r="C350" s="5">
        <v>309</v>
      </c>
    </row>
    <row r="351" spans="1:3" x14ac:dyDescent="0.25">
      <c r="A351" s="6"/>
      <c r="C351" s="3"/>
    </row>
    <row r="352" spans="1:3" ht="15.75" thickBot="1" x14ac:dyDescent="0.3">
      <c r="A352" s="5">
        <v>272</v>
      </c>
      <c r="C352" s="5">
        <v>309</v>
      </c>
    </row>
    <row r="353" spans="1:3" x14ac:dyDescent="0.25">
      <c r="A353" s="6"/>
      <c r="C353" s="3"/>
    </row>
    <row r="354" spans="1:3" ht="15.75" thickBot="1" x14ac:dyDescent="0.3">
      <c r="A354" s="5">
        <v>273</v>
      </c>
      <c r="C354" s="5">
        <v>309</v>
      </c>
    </row>
    <row r="355" spans="1:3" x14ac:dyDescent="0.25">
      <c r="A355" s="6"/>
      <c r="C355" s="3"/>
    </row>
    <row r="356" spans="1:3" ht="15.75" thickBot="1" x14ac:dyDescent="0.3">
      <c r="A356" s="5">
        <v>274</v>
      </c>
      <c r="C356" s="5">
        <v>309</v>
      </c>
    </row>
    <row r="357" spans="1:3" x14ac:dyDescent="0.25">
      <c r="A357" s="6"/>
      <c r="C357" s="3"/>
    </row>
    <row r="358" spans="1:3" ht="15.75" thickBot="1" x14ac:dyDescent="0.3">
      <c r="A358" s="5">
        <v>275</v>
      </c>
      <c r="C358" s="5">
        <v>309</v>
      </c>
    </row>
    <row r="359" spans="1:3" x14ac:dyDescent="0.25">
      <c r="A359" s="6"/>
      <c r="C359" s="3"/>
    </row>
    <row r="360" spans="1:3" ht="15.75" thickBot="1" x14ac:dyDescent="0.3">
      <c r="A360" s="5">
        <v>276</v>
      </c>
      <c r="C360" s="5">
        <v>309</v>
      </c>
    </row>
    <row r="361" spans="1:3" x14ac:dyDescent="0.25">
      <c r="A361" s="6"/>
      <c r="C361" s="3"/>
    </row>
    <row r="362" spans="1:3" ht="15.75" thickBot="1" x14ac:dyDescent="0.3">
      <c r="A362" s="5">
        <v>277</v>
      </c>
      <c r="C362" s="5">
        <v>309</v>
      </c>
    </row>
    <row r="363" spans="1:3" x14ac:dyDescent="0.25">
      <c r="A363" s="6"/>
      <c r="C363" s="3"/>
    </row>
    <row r="364" spans="1:3" ht="15.75" thickBot="1" x14ac:dyDescent="0.3">
      <c r="A364" s="5">
        <v>278</v>
      </c>
      <c r="C364" s="5">
        <v>309</v>
      </c>
    </row>
    <row r="365" spans="1:3" x14ac:dyDescent="0.25">
      <c r="A365" s="6"/>
      <c r="C365" s="3"/>
    </row>
    <row r="366" spans="1:3" ht="15.75" thickBot="1" x14ac:dyDescent="0.3">
      <c r="A366" s="5">
        <v>279</v>
      </c>
      <c r="C366" s="5">
        <v>309</v>
      </c>
    </row>
    <row r="367" spans="1:3" x14ac:dyDescent="0.25">
      <c r="A367" s="6"/>
      <c r="C367" s="3"/>
    </row>
    <row r="368" spans="1:3" ht="15.75" thickBot="1" x14ac:dyDescent="0.3">
      <c r="A368" s="5">
        <v>280</v>
      </c>
      <c r="C368" s="5">
        <v>309</v>
      </c>
    </row>
    <row r="369" spans="1:3" x14ac:dyDescent="0.25">
      <c r="A369" s="6"/>
      <c r="C369" s="3"/>
    </row>
    <row r="370" spans="1:3" ht="15.75" thickBot="1" x14ac:dyDescent="0.3">
      <c r="A370" s="5">
        <v>281</v>
      </c>
      <c r="C370" s="5">
        <v>309</v>
      </c>
    </row>
    <row r="371" spans="1:3" x14ac:dyDescent="0.25">
      <c r="A371" s="6"/>
      <c r="C371" s="3"/>
    </row>
    <row r="372" spans="1:3" ht="15.75" thickBot="1" x14ac:dyDescent="0.3">
      <c r="A372" s="5">
        <v>282</v>
      </c>
      <c r="C372" s="5">
        <v>309</v>
      </c>
    </row>
    <row r="373" spans="1:3" x14ac:dyDescent="0.25">
      <c r="A373" s="6"/>
      <c r="C373" s="3"/>
    </row>
    <row r="374" spans="1:3" ht="15.75" thickBot="1" x14ac:dyDescent="0.3">
      <c r="A374" s="5">
        <v>283</v>
      </c>
      <c r="C374" s="5">
        <v>309</v>
      </c>
    </row>
    <row r="375" spans="1:3" x14ac:dyDescent="0.25">
      <c r="A375" s="6"/>
      <c r="C375" s="3"/>
    </row>
    <row r="376" spans="1:3" ht="15.75" thickBot="1" x14ac:dyDescent="0.3">
      <c r="A376" s="5">
        <v>284</v>
      </c>
      <c r="C376" s="5">
        <v>309</v>
      </c>
    </row>
    <row r="377" spans="1:3" x14ac:dyDescent="0.25">
      <c r="A377" s="6"/>
      <c r="C377" s="3"/>
    </row>
    <row r="378" spans="1:3" ht="15.75" thickBot="1" x14ac:dyDescent="0.3">
      <c r="A378" s="5">
        <v>285</v>
      </c>
      <c r="C378" s="5">
        <v>309</v>
      </c>
    </row>
    <row r="379" spans="1:3" x14ac:dyDescent="0.25">
      <c r="A379" s="6"/>
      <c r="C379" s="3"/>
    </row>
    <row r="380" spans="1:3" ht="15.75" thickBot="1" x14ac:dyDescent="0.3">
      <c r="A380" s="5">
        <v>286</v>
      </c>
      <c r="C380" s="5">
        <v>309</v>
      </c>
    </row>
    <row r="381" spans="1:3" x14ac:dyDescent="0.25">
      <c r="A381" s="6"/>
      <c r="C381" s="3"/>
    </row>
    <row r="382" spans="1:3" ht="15.75" thickBot="1" x14ac:dyDescent="0.3">
      <c r="A382" s="5">
        <v>287</v>
      </c>
      <c r="C382" s="5">
        <v>309</v>
      </c>
    </row>
    <row r="383" spans="1:3" x14ac:dyDescent="0.25">
      <c r="A383" s="6"/>
      <c r="C383" s="3"/>
    </row>
    <row r="384" spans="1:3" ht="15.75" thickBot="1" x14ac:dyDescent="0.3">
      <c r="A384" s="5">
        <v>288</v>
      </c>
      <c r="C384" s="5">
        <v>309</v>
      </c>
    </row>
    <row r="385" spans="1:3" x14ac:dyDescent="0.25">
      <c r="A385" s="6"/>
      <c r="C385" s="3"/>
    </row>
    <row r="386" spans="1:3" ht="15.75" thickBot="1" x14ac:dyDescent="0.3">
      <c r="A386" s="5">
        <v>289</v>
      </c>
      <c r="C386" s="5">
        <v>309</v>
      </c>
    </row>
    <row r="387" spans="1:3" x14ac:dyDescent="0.25">
      <c r="A387" s="6"/>
      <c r="C387" s="3"/>
    </row>
    <row r="388" spans="1:3" ht="15.75" thickBot="1" x14ac:dyDescent="0.3">
      <c r="A388" s="5">
        <v>290</v>
      </c>
      <c r="C388" s="5">
        <v>309</v>
      </c>
    </row>
    <row r="389" spans="1:3" x14ac:dyDescent="0.25">
      <c r="A389" s="6"/>
      <c r="C389" s="3"/>
    </row>
    <row r="390" spans="1:3" ht="15.75" thickBot="1" x14ac:dyDescent="0.3">
      <c r="A390" s="5">
        <v>291</v>
      </c>
      <c r="C390" s="5">
        <v>309</v>
      </c>
    </row>
    <row r="391" spans="1:3" x14ac:dyDescent="0.25">
      <c r="A391" s="6"/>
      <c r="C391" s="3"/>
    </row>
    <row r="392" spans="1:3" ht="15.75" thickBot="1" x14ac:dyDescent="0.3">
      <c r="A392" s="5">
        <v>292</v>
      </c>
      <c r="C392" s="5">
        <v>309</v>
      </c>
    </row>
    <row r="393" spans="1:3" x14ac:dyDescent="0.25">
      <c r="A393" s="6"/>
      <c r="C393" s="3"/>
    </row>
    <row r="394" spans="1:3" ht="15.75" thickBot="1" x14ac:dyDescent="0.3">
      <c r="A394" s="5">
        <v>293</v>
      </c>
      <c r="C394" s="5">
        <v>309</v>
      </c>
    </row>
    <row r="395" spans="1:3" x14ac:dyDescent="0.25">
      <c r="A395" s="6"/>
      <c r="C395" s="3"/>
    </row>
    <row r="396" spans="1:3" ht="15.75" thickBot="1" x14ac:dyDescent="0.3">
      <c r="A396" s="5">
        <v>294</v>
      </c>
      <c r="C396" s="5">
        <v>309</v>
      </c>
    </row>
    <row r="397" spans="1:3" x14ac:dyDescent="0.25">
      <c r="A397" s="6"/>
      <c r="C397" s="3"/>
    </row>
    <row r="398" spans="1:3" ht="15.75" thickBot="1" x14ac:dyDescent="0.3">
      <c r="A398" s="5">
        <v>295</v>
      </c>
      <c r="C398" s="5">
        <v>309</v>
      </c>
    </row>
    <row r="399" spans="1:3" x14ac:dyDescent="0.25">
      <c r="A399" s="6"/>
      <c r="C399" s="3"/>
    </row>
    <row r="400" spans="1:3" ht="15.75" thickBot="1" x14ac:dyDescent="0.3">
      <c r="A400" s="5">
        <v>296</v>
      </c>
      <c r="C400" s="5">
        <v>309</v>
      </c>
    </row>
    <row r="401" spans="1:3" x14ac:dyDescent="0.25">
      <c r="A401" s="6"/>
      <c r="C401" s="3"/>
    </row>
    <row r="402" spans="1:3" ht="15.75" thickBot="1" x14ac:dyDescent="0.3">
      <c r="A402" s="5">
        <v>297</v>
      </c>
      <c r="C402" s="5">
        <v>309</v>
      </c>
    </row>
    <row r="403" spans="1:3" x14ac:dyDescent="0.25">
      <c r="A403" s="6"/>
      <c r="C403" s="3"/>
    </row>
    <row r="404" spans="1:3" ht="15.75" thickBot="1" x14ac:dyDescent="0.3">
      <c r="A404" s="5">
        <v>298</v>
      </c>
      <c r="C404" s="5">
        <v>310</v>
      </c>
    </row>
    <row r="405" spans="1:3" x14ac:dyDescent="0.25">
      <c r="A405" s="6"/>
      <c r="C405" s="3"/>
    </row>
    <row r="406" spans="1:3" ht="15.75" thickBot="1" x14ac:dyDescent="0.3">
      <c r="A406" s="5">
        <v>299</v>
      </c>
      <c r="C406" s="5">
        <v>311</v>
      </c>
    </row>
    <row r="407" spans="1:3" x14ac:dyDescent="0.25">
      <c r="A407" s="6"/>
      <c r="C407" s="3"/>
    </row>
    <row r="408" spans="1:3" ht="15.75" thickBot="1" x14ac:dyDescent="0.3">
      <c r="A408" s="5">
        <v>300</v>
      </c>
      <c r="C408" s="5">
        <v>311</v>
      </c>
    </row>
    <row r="409" spans="1:3" x14ac:dyDescent="0.25">
      <c r="A409" s="6"/>
      <c r="C409" s="3"/>
    </row>
    <row r="410" spans="1:3" ht="15.75" thickBot="1" x14ac:dyDescent="0.3">
      <c r="A410" s="5">
        <v>301</v>
      </c>
      <c r="C410" s="5">
        <v>311</v>
      </c>
    </row>
    <row r="411" spans="1:3" x14ac:dyDescent="0.25">
      <c r="A411" s="6"/>
      <c r="C411" s="3"/>
    </row>
    <row r="412" spans="1:3" ht="15.75" thickBot="1" x14ac:dyDescent="0.3">
      <c r="A412" s="5">
        <v>302</v>
      </c>
      <c r="C412" s="5">
        <v>312</v>
      </c>
    </row>
    <row r="413" spans="1:3" x14ac:dyDescent="0.25">
      <c r="A413" s="6"/>
      <c r="C413" s="3"/>
    </row>
    <row r="414" spans="1:3" ht="15.75" thickBot="1" x14ac:dyDescent="0.3">
      <c r="A414" s="5">
        <v>303</v>
      </c>
      <c r="C414" s="5">
        <v>312</v>
      </c>
    </row>
    <row r="415" spans="1:3" x14ac:dyDescent="0.25">
      <c r="A415" s="6"/>
      <c r="C415" s="3"/>
    </row>
    <row r="416" spans="1:3" ht="15.75" thickBot="1" x14ac:dyDescent="0.3">
      <c r="A416" s="5">
        <v>304</v>
      </c>
      <c r="C416" s="5">
        <v>312</v>
      </c>
    </row>
    <row r="417" spans="1:3" x14ac:dyDescent="0.25">
      <c r="A417" s="6"/>
      <c r="C417" s="3"/>
    </row>
    <row r="418" spans="1:3" ht="15.75" thickBot="1" x14ac:dyDescent="0.3">
      <c r="A418" s="5">
        <v>305</v>
      </c>
      <c r="C418" s="5">
        <v>312</v>
      </c>
    </row>
    <row r="419" spans="1:3" x14ac:dyDescent="0.25">
      <c r="A419" s="6"/>
      <c r="C419" s="3"/>
    </row>
    <row r="420" spans="1:3" ht="15.75" thickBot="1" x14ac:dyDescent="0.3">
      <c r="A420" s="5">
        <v>306</v>
      </c>
      <c r="C420" s="5">
        <v>312</v>
      </c>
    </row>
    <row r="421" spans="1:3" x14ac:dyDescent="0.25">
      <c r="A421" s="6"/>
      <c r="C421" s="3"/>
    </row>
    <row r="422" spans="1:3" ht="15.75" thickBot="1" x14ac:dyDescent="0.3">
      <c r="A422" s="5">
        <v>307</v>
      </c>
      <c r="C422" s="5">
        <v>313</v>
      </c>
    </row>
    <row r="423" spans="1:3" x14ac:dyDescent="0.25">
      <c r="A423" s="6"/>
      <c r="C423" s="3"/>
    </row>
    <row r="424" spans="1:3" ht="15.75" thickBot="1" x14ac:dyDescent="0.3">
      <c r="A424" s="5">
        <v>308</v>
      </c>
      <c r="C424" s="5">
        <v>313</v>
      </c>
    </row>
    <row r="425" spans="1:3" x14ac:dyDescent="0.25">
      <c r="A425" s="6"/>
      <c r="C425" s="3"/>
    </row>
    <row r="426" spans="1:3" ht="15.75" thickBot="1" x14ac:dyDescent="0.3">
      <c r="A426" s="5">
        <v>309</v>
      </c>
      <c r="C426" s="5">
        <v>313</v>
      </c>
    </row>
    <row r="427" spans="1:3" x14ac:dyDescent="0.25">
      <c r="A427" s="6"/>
      <c r="C427" s="3"/>
    </row>
    <row r="428" spans="1:3" ht="15.75" thickBot="1" x14ac:dyDescent="0.3">
      <c r="A428" s="5">
        <v>310</v>
      </c>
      <c r="C428" s="5">
        <v>313</v>
      </c>
    </row>
    <row r="429" spans="1:3" x14ac:dyDescent="0.25">
      <c r="A429" s="6"/>
      <c r="C429" s="3"/>
    </row>
    <row r="430" spans="1:3" ht="15.75" thickBot="1" x14ac:dyDescent="0.3">
      <c r="A430" s="5">
        <v>311</v>
      </c>
      <c r="C430" s="5">
        <v>313</v>
      </c>
    </row>
    <row r="431" spans="1:3" x14ac:dyDescent="0.25">
      <c r="A431" s="6"/>
      <c r="C431" s="3"/>
    </row>
    <row r="432" spans="1:3" ht="15.75" thickBot="1" x14ac:dyDescent="0.3">
      <c r="A432" s="5">
        <v>312</v>
      </c>
      <c r="C432" s="5">
        <v>313</v>
      </c>
    </row>
    <row r="433" spans="1:3" x14ac:dyDescent="0.25">
      <c r="A433" s="6"/>
      <c r="C433" s="3"/>
    </row>
    <row r="434" spans="1:3" ht="15.75" thickBot="1" x14ac:dyDescent="0.3">
      <c r="A434" s="5">
        <v>313</v>
      </c>
      <c r="C434" s="5">
        <v>313</v>
      </c>
    </row>
    <row r="435" spans="1:3" x14ac:dyDescent="0.25">
      <c r="A435" s="6"/>
      <c r="C435" s="3"/>
    </row>
    <row r="436" spans="1:3" ht="15.75" thickBot="1" x14ac:dyDescent="0.3">
      <c r="A436" s="5">
        <v>314</v>
      </c>
      <c r="C436" s="5">
        <v>313</v>
      </c>
    </row>
    <row r="437" spans="1:3" x14ac:dyDescent="0.25">
      <c r="A437" s="6"/>
      <c r="C437" s="3"/>
    </row>
    <row r="438" spans="1:3" ht="15.75" thickBot="1" x14ac:dyDescent="0.3">
      <c r="A438" s="5">
        <v>315</v>
      </c>
      <c r="C438" s="5">
        <v>313</v>
      </c>
    </row>
    <row r="439" spans="1:3" x14ac:dyDescent="0.25">
      <c r="A439" s="6"/>
      <c r="C439" s="3"/>
    </row>
    <row r="440" spans="1:3" ht="15.75" thickBot="1" x14ac:dyDescent="0.3">
      <c r="A440" s="5">
        <v>316</v>
      </c>
      <c r="C440" s="5">
        <v>313</v>
      </c>
    </row>
    <row r="441" spans="1:3" x14ac:dyDescent="0.25">
      <c r="A441" s="6"/>
      <c r="C441" s="3"/>
    </row>
    <row r="442" spans="1:3" ht="15.75" thickBot="1" x14ac:dyDescent="0.3">
      <c r="A442" s="5">
        <v>317</v>
      </c>
      <c r="C442" s="5">
        <v>313</v>
      </c>
    </row>
    <row r="443" spans="1:3" x14ac:dyDescent="0.25">
      <c r="A443" s="6"/>
      <c r="C443" s="3"/>
    </row>
    <row r="444" spans="1:3" ht="15.75" thickBot="1" x14ac:dyDescent="0.3">
      <c r="A444" s="5">
        <v>318</v>
      </c>
      <c r="C444" s="5">
        <v>314</v>
      </c>
    </row>
    <row r="445" spans="1:3" x14ac:dyDescent="0.25">
      <c r="A445" s="6"/>
      <c r="C445" s="3"/>
    </row>
    <row r="446" spans="1:3" ht="15.75" thickBot="1" x14ac:dyDescent="0.3">
      <c r="A446" s="5">
        <v>319</v>
      </c>
      <c r="C446" s="5">
        <v>314</v>
      </c>
    </row>
    <row r="447" spans="1:3" x14ac:dyDescent="0.25">
      <c r="A447" s="6"/>
      <c r="C447" s="3"/>
    </row>
    <row r="448" spans="1:3" ht="15.75" thickBot="1" x14ac:dyDescent="0.3">
      <c r="A448" s="5">
        <v>320</v>
      </c>
      <c r="C448" s="5">
        <v>314</v>
      </c>
    </row>
    <row r="449" spans="1:3" x14ac:dyDescent="0.25">
      <c r="A449" s="6"/>
      <c r="C449" s="3"/>
    </row>
    <row r="450" spans="1:3" ht="15.75" thickBot="1" x14ac:dyDescent="0.3">
      <c r="A450" s="5">
        <v>321</v>
      </c>
      <c r="C450" s="5">
        <v>314</v>
      </c>
    </row>
    <row r="451" spans="1:3" x14ac:dyDescent="0.25">
      <c r="A451" s="6"/>
      <c r="C451" s="3"/>
    </row>
    <row r="452" spans="1:3" ht="15.75" thickBot="1" x14ac:dyDescent="0.3">
      <c r="A452" s="5">
        <v>322</v>
      </c>
      <c r="C452" s="5">
        <v>314</v>
      </c>
    </row>
    <row r="453" spans="1:3" x14ac:dyDescent="0.25">
      <c r="A453" s="6"/>
      <c r="C453" s="3"/>
    </row>
    <row r="454" spans="1:3" ht="15.75" thickBot="1" x14ac:dyDescent="0.3">
      <c r="A454" s="5">
        <v>323</v>
      </c>
      <c r="C454" s="5">
        <v>314</v>
      </c>
    </row>
    <row r="455" spans="1:3" x14ac:dyDescent="0.25">
      <c r="A455" s="6"/>
      <c r="C455" s="3"/>
    </row>
    <row r="456" spans="1:3" ht="15.75" thickBot="1" x14ac:dyDescent="0.3">
      <c r="A456" s="5">
        <v>324</v>
      </c>
      <c r="C456" s="5">
        <v>314</v>
      </c>
    </row>
    <row r="457" spans="1:3" x14ac:dyDescent="0.25">
      <c r="A457" s="6"/>
      <c r="C457" s="3"/>
    </row>
    <row r="458" spans="1:3" ht="15.75" thickBot="1" x14ac:dyDescent="0.3">
      <c r="A458" s="5">
        <v>325</v>
      </c>
      <c r="C458" s="5">
        <v>314</v>
      </c>
    </row>
    <row r="459" spans="1:3" x14ac:dyDescent="0.25">
      <c r="A459" s="6"/>
      <c r="C459" s="3"/>
    </row>
    <row r="460" spans="1:3" ht="15.75" thickBot="1" x14ac:dyDescent="0.3">
      <c r="A460" s="5">
        <v>326</v>
      </c>
      <c r="C460" s="5">
        <v>315</v>
      </c>
    </row>
    <row r="461" spans="1:3" x14ac:dyDescent="0.25">
      <c r="A461" s="6"/>
      <c r="C461" s="3"/>
    </row>
    <row r="462" spans="1:3" ht="15.75" thickBot="1" x14ac:dyDescent="0.3">
      <c r="A462" s="5">
        <v>327</v>
      </c>
      <c r="C462" s="5">
        <v>315</v>
      </c>
    </row>
    <row r="463" spans="1:3" x14ac:dyDescent="0.25">
      <c r="A463" s="6"/>
      <c r="C463" s="3"/>
    </row>
    <row r="464" spans="1:3" ht="15.75" thickBot="1" x14ac:dyDescent="0.3">
      <c r="A464" s="5">
        <v>328</v>
      </c>
      <c r="C464" s="5">
        <v>315</v>
      </c>
    </row>
    <row r="465" spans="1:3" x14ac:dyDescent="0.25">
      <c r="A465" s="6"/>
      <c r="C465" s="3"/>
    </row>
    <row r="466" spans="1:3" ht="15.75" thickBot="1" x14ac:dyDescent="0.3">
      <c r="A466" s="5">
        <v>329</v>
      </c>
      <c r="C466" s="5">
        <v>316</v>
      </c>
    </row>
    <row r="467" spans="1:3" x14ac:dyDescent="0.25">
      <c r="A467" s="6"/>
      <c r="C467" s="3"/>
    </row>
    <row r="468" spans="1:3" ht="15.75" thickBot="1" x14ac:dyDescent="0.3">
      <c r="A468" s="5">
        <v>330</v>
      </c>
      <c r="C468" s="5">
        <v>316</v>
      </c>
    </row>
    <row r="469" spans="1:3" x14ac:dyDescent="0.25">
      <c r="A469" s="6"/>
      <c r="C469" s="3"/>
    </row>
    <row r="470" spans="1:3" ht="15.75" thickBot="1" x14ac:dyDescent="0.3">
      <c r="A470" s="5">
        <v>331</v>
      </c>
      <c r="C470" s="5">
        <v>316</v>
      </c>
    </row>
    <row r="471" spans="1:3" x14ac:dyDescent="0.25">
      <c r="A471" s="6"/>
      <c r="C471" s="3"/>
    </row>
    <row r="472" spans="1:3" ht="15.75" thickBot="1" x14ac:dyDescent="0.3">
      <c r="A472" s="5">
        <v>332</v>
      </c>
      <c r="C472" s="5">
        <v>316</v>
      </c>
    </row>
    <row r="473" spans="1:3" x14ac:dyDescent="0.25">
      <c r="A473" s="6"/>
      <c r="C473" s="3"/>
    </row>
    <row r="474" spans="1:3" ht="15.75" thickBot="1" x14ac:dyDescent="0.3">
      <c r="A474" s="5">
        <v>333</v>
      </c>
      <c r="C474" s="5">
        <v>316</v>
      </c>
    </row>
    <row r="475" spans="1:3" x14ac:dyDescent="0.25">
      <c r="A475" s="6"/>
      <c r="C475" s="3"/>
    </row>
    <row r="476" spans="1:3" ht="15.75" thickBot="1" x14ac:dyDescent="0.3">
      <c r="A476" s="5">
        <v>334</v>
      </c>
      <c r="C476" s="5">
        <v>317</v>
      </c>
    </row>
    <row r="477" spans="1:3" x14ac:dyDescent="0.25">
      <c r="A477" s="6"/>
      <c r="C477" s="3"/>
    </row>
    <row r="478" spans="1:3" ht="15.75" thickBot="1" x14ac:dyDescent="0.3">
      <c r="A478" s="5">
        <v>335</v>
      </c>
      <c r="C478" s="5">
        <v>317</v>
      </c>
    </row>
    <row r="479" spans="1:3" x14ac:dyDescent="0.25">
      <c r="A479" s="6"/>
      <c r="C479" s="3"/>
    </row>
    <row r="480" spans="1:3" ht="15.75" thickBot="1" x14ac:dyDescent="0.3">
      <c r="A480" s="5">
        <v>336</v>
      </c>
      <c r="C480" s="5">
        <v>318</v>
      </c>
    </row>
    <row r="481" spans="1:3" x14ac:dyDescent="0.25">
      <c r="A481" s="6"/>
      <c r="C481" s="3"/>
    </row>
    <row r="482" spans="1:3" ht="15.75" thickBot="1" x14ac:dyDescent="0.3">
      <c r="A482" s="5">
        <v>337</v>
      </c>
      <c r="C482" s="5">
        <v>319</v>
      </c>
    </row>
    <row r="483" spans="1:3" x14ac:dyDescent="0.25">
      <c r="A483" s="6"/>
      <c r="C483" s="3"/>
    </row>
    <row r="484" spans="1:3" ht="15.75" thickBot="1" x14ac:dyDescent="0.3">
      <c r="A484" s="5">
        <v>338</v>
      </c>
      <c r="C484" s="5">
        <v>319</v>
      </c>
    </row>
    <row r="485" spans="1:3" x14ac:dyDescent="0.25">
      <c r="A485" s="6"/>
      <c r="C485" s="3"/>
    </row>
    <row r="486" spans="1:3" ht="15.75" thickBot="1" x14ac:dyDescent="0.3">
      <c r="A486" s="5">
        <v>339</v>
      </c>
      <c r="C486" s="5">
        <v>320</v>
      </c>
    </row>
    <row r="487" spans="1:3" x14ac:dyDescent="0.25">
      <c r="A487" s="6"/>
      <c r="C487" s="3"/>
    </row>
    <row r="488" spans="1:3" ht="15.75" thickBot="1" x14ac:dyDescent="0.3">
      <c r="A488" s="5">
        <v>340</v>
      </c>
      <c r="C488" s="5">
        <v>321</v>
      </c>
    </row>
    <row r="489" spans="1:3" x14ac:dyDescent="0.25">
      <c r="A489" s="6"/>
      <c r="C489" s="3"/>
    </row>
    <row r="490" spans="1:3" ht="15.75" thickBot="1" x14ac:dyDescent="0.3">
      <c r="A490" s="5">
        <v>341</v>
      </c>
      <c r="C490" s="5">
        <v>322</v>
      </c>
    </row>
    <row r="491" spans="1:3" x14ac:dyDescent="0.25">
      <c r="A491" s="6"/>
      <c r="C491" s="3"/>
    </row>
    <row r="492" spans="1:3" ht="15.75" thickBot="1" x14ac:dyDescent="0.3">
      <c r="A492" s="5">
        <v>342</v>
      </c>
      <c r="C492" s="5">
        <v>323</v>
      </c>
    </row>
    <row r="493" spans="1:3" x14ac:dyDescent="0.25">
      <c r="A493" s="6"/>
      <c r="C493" s="3"/>
    </row>
    <row r="494" spans="1:3" ht="15.75" thickBot="1" x14ac:dyDescent="0.3">
      <c r="A494" s="5">
        <v>343</v>
      </c>
      <c r="C494" s="5">
        <v>324</v>
      </c>
    </row>
    <row r="495" spans="1:3" x14ac:dyDescent="0.25">
      <c r="A495" s="6"/>
      <c r="C495" s="3"/>
    </row>
    <row r="496" spans="1:3" ht="15.75" thickBot="1" x14ac:dyDescent="0.3">
      <c r="A496" s="5">
        <v>344</v>
      </c>
      <c r="C496" s="5">
        <v>324</v>
      </c>
    </row>
    <row r="497" spans="1:3" x14ac:dyDescent="0.25">
      <c r="A497" s="6"/>
      <c r="C497" s="3"/>
    </row>
    <row r="498" spans="1:3" ht="15.75" thickBot="1" x14ac:dyDescent="0.3">
      <c r="A498" s="5">
        <v>345</v>
      </c>
      <c r="C498" s="5">
        <v>324</v>
      </c>
    </row>
    <row r="499" spans="1:3" x14ac:dyDescent="0.25">
      <c r="A499" s="6"/>
      <c r="C499" s="3"/>
    </row>
    <row r="500" spans="1:3" ht="15.75" thickBot="1" x14ac:dyDescent="0.3">
      <c r="A500" s="5">
        <v>346</v>
      </c>
      <c r="C500" s="5">
        <v>324</v>
      </c>
    </row>
    <row r="501" spans="1:3" x14ac:dyDescent="0.25">
      <c r="A501" s="6"/>
      <c r="C501" s="3"/>
    </row>
    <row r="502" spans="1:3" ht="15.75" thickBot="1" x14ac:dyDescent="0.3">
      <c r="A502" s="5">
        <v>347</v>
      </c>
      <c r="C502" s="5">
        <v>325</v>
      </c>
    </row>
    <row r="503" spans="1:3" x14ac:dyDescent="0.25">
      <c r="A503" s="6"/>
      <c r="C503" s="3"/>
    </row>
    <row r="504" spans="1:3" ht="15.75" thickBot="1" x14ac:dyDescent="0.3">
      <c r="A504" s="5">
        <v>348</v>
      </c>
      <c r="C504" s="5">
        <v>326</v>
      </c>
    </row>
    <row r="505" spans="1:3" x14ac:dyDescent="0.25">
      <c r="A505" s="6"/>
      <c r="C505" s="3"/>
    </row>
    <row r="506" spans="1:3" ht="15.75" thickBot="1" x14ac:dyDescent="0.3">
      <c r="A506" s="5">
        <v>349</v>
      </c>
      <c r="C506" s="5">
        <v>327</v>
      </c>
    </row>
    <row r="507" spans="1:3" x14ac:dyDescent="0.25">
      <c r="A507" s="6"/>
      <c r="C507" s="3"/>
    </row>
    <row r="508" spans="1:3" ht="15.75" thickBot="1" x14ac:dyDescent="0.3">
      <c r="A508" s="5">
        <v>350</v>
      </c>
      <c r="C508" s="5">
        <v>327</v>
      </c>
    </row>
    <row r="509" spans="1:3" x14ac:dyDescent="0.25">
      <c r="A509" s="6"/>
      <c r="C509" s="3"/>
    </row>
    <row r="510" spans="1:3" ht="15.75" thickBot="1" x14ac:dyDescent="0.3">
      <c r="A510" s="5">
        <v>351</v>
      </c>
      <c r="C510" s="5">
        <v>328</v>
      </c>
    </row>
    <row r="511" spans="1:3" x14ac:dyDescent="0.25">
      <c r="A511" s="6"/>
      <c r="C511" s="3"/>
    </row>
    <row r="512" spans="1:3" ht="15.75" thickBot="1" x14ac:dyDescent="0.3">
      <c r="A512" s="5">
        <v>352</v>
      </c>
      <c r="C512" s="5">
        <v>329</v>
      </c>
    </row>
    <row r="513" spans="1:3" x14ac:dyDescent="0.25">
      <c r="A513" s="6"/>
      <c r="C513" s="3"/>
    </row>
    <row r="514" spans="1:3" ht="15.75" thickBot="1" x14ac:dyDescent="0.3">
      <c r="A514" s="5">
        <v>353</v>
      </c>
      <c r="C514" s="5">
        <v>329</v>
      </c>
    </row>
    <row r="515" spans="1:3" x14ac:dyDescent="0.25">
      <c r="A515" s="6"/>
      <c r="C515" s="3"/>
    </row>
    <row r="516" spans="1:3" ht="15.75" thickBot="1" x14ac:dyDescent="0.3">
      <c r="A516" s="5">
        <v>354</v>
      </c>
      <c r="C516" s="5">
        <v>330</v>
      </c>
    </row>
    <row r="517" spans="1:3" x14ac:dyDescent="0.25">
      <c r="A517" s="6"/>
      <c r="C517" s="3"/>
    </row>
    <row r="518" spans="1:3" ht="15.75" thickBot="1" x14ac:dyDescent="0.3">
      <c r="A518" s="5">
        <v>355</v>
      </c>
      <c r="C518" s="5">
        <v>331</v>
      </c>
    </row>
    <row r="519" spans="1:3" x14ac:dyDescent="0.25">
      <c r="A519" s="6"/>
      <c r="C519" s="3"/>
    </row>
    <row r="520" spans="1:3" ht="15.75" thickBot="1" x14ac:dyDescent="0.3">
      <c r="A520" s="5">
        <v>356</v>
      </c>
      <c r="C520" s="5">
        <v>332</v>
      </c>
    </row>
    <row r="521" spans="1:3" x14ac:dyDescent="0.25">
      <c r="A521" s="6"/>
      <c r="C521" s="3"/>
    </row>
    <row r="522" spans="1:3" ht="15.75" thickBot="1" x14ac:dyDescent="0.3">
      <c r="A522" s="5">
        <v>357</v>
      </c>
      <c r="C522" s="5">
        <v>332</v>
      </c>
    </row>
    <row r="523" spans="1:3" x14ac:dyDescent="0.25">
      <c r="A523" s="6"/>
      <c r="C523" s="3"/>
    </row>
    <row r="524" spans="1:3" ht="15.75" thickBot="1" x14ac:dyDescent="0.3">
      <c r="A524" s="5">
        <v>358</v>
      </c>
      <c r="C524" s="5">
        <v>333</v>
      </c>
    </row>
    <row r="525" spans="1:3" x14ac:dyDescent="0.25">
      <c r="A525" s="6"/>
      <c r="C525" s="3"/>
    </row>
    <row r="526" spans="1:3" ht="15.75" thickBot="1" x14ac:dyDescent="0.3">
      <c r="A526" s="5">
        <v>359</v>
      </c>
      <c r="C526" s="5">
        <v>334</v>
      </c>
    </row>
    <row r="527" spans="1:3" x14ac:dyDescent="0.25">
      <c r="A527" s="6"/>
      <c r="C527" s="3"/>
    </row>
    <row r="528" spans="1:3" ht="15.75" thickBot="1" x14ac:dyDescent="0.3">
      <c r="A528" s="5">
        <v>360</v>
      </c>
      <c r="C528" s="5">
        <v>335</v>
      </c>
    </row>
    <row r="529" spans="1:3" x14ac:dyDescent="0.25">
      <c r="A529" s="6"/>
      <c r="C529" s="3"/>
    </row>
    <row r="530" spans="1:3" ht="15.75" thickBot="1" x14ac:dyDescent="0.3">
      <c r="A530" s="5">
        <v>361</v>
      </c>
      <c r="C530" s="5">
        <v>335</v>
      </c>
    </row>
    <row r="531" spans="1:3" x14ac:dyDescent="0.25">
      <c r="A531" s="6"/>
      <c r="C531" s="3"/>
    </row>
    <row r="532" spans="1:3" ht="15.75" thickBot="1" x14ac:dyDescent="0.3">
      <c r="A532" s="5">
        <v>362</v>
      </c>
      <c r="C532" s="5">
        <v>336</v>
      </c>
    </row>
    <row r="533" spans="1:3" x14ac:dyDescent="0.25">
      <c r="A533" s="6"/>
      <c r="C533" s="3"/>
    </row>
    <row r="534" spans="1:3" ht="15.75" thickBot="1" x14ac:dyDescent="0.3">
      <c r="A534" s="5">
        <v>363</v>
      </c>
      <c r="C534" s="5">
        <v>337</v>
      </c>
    </row>
    <row r="535" spans="1:3" x14ac:dyDescent="0.25">
      <c r="A535" s="6"/>
      <c r="C535" s="3"/>
    </row>
    <row r="536" spans="1:3" ht="15.75" thickBot="1" x14ac:dyDescent="0.3">
      <c r="A536" s="5">
        <v>364</v>
      </c>
      <c r="C536" s="5">
        <v>338</v>
      </c>
    </row>
    <row r="537" spans="1:3" x14ac:dyDescent="0.25">
      <c r="A537" s="6"/>
      <c r="C537" s="3"/>
    </row>
    <row r="538" spans="1:3" ht="15.75" thickBot="1" x14ac:dyDescent="0.3">
      <c r="A538" s="5">
        <v>365</v>
      </c>
      <c r="C538" s="5">
        <v>338</v>
      </c>
    </row>
    <row r="539" spans="1:3" x14ac:dyDescent="0.25">
      <c r="A539" s="6"/>
      <c r="C539" s="3"/>
    </row>
    <row r="540" spans="1:3" ht="15.75" thickBot="1" x14ac:dyDescent="0.3">
      <c r="A540" s="5">
        <v>366</v>
      </c>
      <c r="C540" s="5">
        <v>339</v>
      </c>
    </row>
    <row r="541" spans="1:3" x14ac:dyDescent="0.25">
      <c r="A541" s="6"/>
      <c r="C541" s="3"/>
    </row>
    <row r="542" spans="1:3" ht="15.75" thickBot="1" x14ac:dyDescent="0.3">
      <c r="A542" s="5">
        <v>367</v>
      </c>
      <c r="C542" s="5">
        <v>340</v>
      </c>
    </row>
    <row r="543" spans="1:3" x14ac:dyDescent="0.25">
      <c r="A543" s="6"/>
      <c r="C543" s="3"/>
    </row>
    <row r="544" spans="1:3" ht="15.75" thickBot="1" x14ac:dyDescent="0.3">
      <c r="A544" s="5">
        <v>368</v>
      </c>
      <c r="C544" s="5">
        <v>341</v>
      </c>
    </row>
    <row r="545" spans="1:3" x14ac:dyDescent="0.25">
      <c r="A545" s="6"/>
      <c r="C545" s="3"/>
    </row>
    <row r="546" spans="1:3" ht="15.75" thickBot="1" x14ac:dyDescent="0.3">
      <c r="A546" s="5">
        <v>369</v>
      </c>
      <c r="C546" s="5">
        <v>341</v>
      </c>
    </row>
    <row r="547" spans="1:3" x14ac:dyDescent="0.25">
      <c r="A547" s="6"/>
      <c r="C547" s="3"/>
    </row>
    <row r="548" spans="1:3" ht="15.75" thickBot="1" x14ac:dyDescent="0.3">
      <c r="A548" s="5">
        <v>370</v>
      </c>
      <c r="C548" s="5">
        <v>342</v>
      </c>
    </row>
    <row r="549" spans="1:3" x14ac:dyDescent="0.25">
      <c r="A549" s="6"/>
      <c r="C549" s="3"/>
    </row>
    <row r="550" spans="1:3" ht="15.75" thickBot="1" x14ac:dyDescent="0.3">
      <c r="A550" s="5">
        <v>371</v>
      </c>
      <c r="C550" s="5">
        <v>343</v>
      </c>
    </row>
    <row r="551" spans="1:3" x14ac:dyDescent="0.25">
      <c r="A551" s="6"/>
      <c r="C551" s="3"/>
    </row>
    <row r="552" spans="1:3" ht="15.75" thickBot="1" x14ac:dyDescent="0.3">
      <c r="A552" s="5">
        <v>372</v>
      </c>
      <c r="C552" s="5">
        <v>343</v>
      </c>
    </row>
    <row r="553" spans="1:3" x14ac:dyDescent="0.25">
      <c r="A553" s="6"/>
      <c r="C553" s="3"/>
    </row>
    <row r="554" spans="1:3" ht="15.75" thickBot="1" x14ac:dyDescent="0.3">
      <c r="A554" s="5">
        <v>373</v>
      </c>
      <c r="C554" s="5">
        <v>344</v>
      </c>
    </row>
    <row r="555" spans="1:3" x14ac:dyDescent="0.25">
      <c r="A555" s="6"/>
      <c r="C555" s="3"/>
    </row>
    <row r="556" spans="1:3" ht="15.75" thickBot="1" x14ac:dyDescent="0.3">
      <c r="A556" s="5">
        <v>374</v>
      </c>
      <c r="C556" s="5">
        <v>345</v>
      </c>
    </row>
    <row r="557" spans="1:3" x14ac:dyDescent="0.25">
      <c r="A557" s="6"/>
      <c r="C557" s="3"/>
    </row>
    <row r="558" spans="1:3" ht="15.75" thickBot="1" x14ac:dyDescent="0.3">
      <c r="A558" s="5">
        <v>375</v>
      </c>
      <c r="C558" s="5">
        <v>346</v>
      </c>
    </row>
    <row r="559" spans="1:3" x14ac:dyDescent="0.25">
      <c r="A559" s="6"/>
      <c r="C559" s="3"/>
    </row>
    <row r="560" spans="1:3" ht="15.75" thickBot="1" x14ac:dyDescent="0.3">
      <c r="A560" s="5">
        <v>376</v>
      </c>
      <c r="C560" s="5">
        <v>346</v>
      </c>
    </row>
    <row r="561" spans="1:3" x14ac:dyDescent="0.25">
      <c r="A561" s="6"/>
      <c r="C561" s="3"/>
    </row>
    <row r="562" spans="1:3" ht="15.75" thickBot="1" x14ac:dyDescent="0.3">
      <c r="A562" s="5">
        <v>377</v>
      </c>
      <c r="C562" s="5">
        <v>347</v>
      </c>
    </row>
    <row r="563" spans="1:3" x14ac:dyDescent="0.25">
      <c r="A563" s="6"/>
      <c r="C563" s="3"/>
    </row>
    <row r="564" spans="1:3" ht="15.75" thickBot="1" x14ac:dyDescent="0.3">
      <c r="A564" s="5">
        <v>378</v>
      </c>
      <c r="C564" s="5">
        <v>348</v>
      </c>
    </row>
    <row r="565" spans="1:3" x14ac:dyDescent="0.25">
      <c r="A565" s="6"/>
      <c r="C565" s="3"/>
    </row>
    <row r="566" spans="1:3" ht="15.75" thickBot="1" x14ac:dyDescent="0.3">
      <c r="A566" s="5">
        <v>379</v>
      </c>
      <c r="C566" s="5">
        <v>349</v>
      </c>
    </row>
    <row r="567" spans="1:3" x14ac:dyDescent="0.25">
      <c r="A567" s="6"/>
      <c r="C567" s="3"/>
    </row>
    <row r="568" spans="1:3" ht="15.75" thickBot="1" x14ac:dyDescent="0.3">
      <c r="A568" s="5">
        <v>380</v>
      </c>
      <c r="C568" s="5">
        <v>350</v>
      </c>
    </row>
    <row r="569" spans="1:3" x14ac:dyDescent="0.25">
      <c r="A569" s="6"/>
      <c r="C569" s="3"/>
    </row>
    <row r="570" spans="1:3" ht="15.75" thickBot="1" x14ac:dyDescent="0.3">
      <c r="A570" s="5">
        <v>381</v>
      </c>
      <c r="C570" s="5">
        <v>351</v>
      </c>
    </row>
    <row r="571" spans="1:3" x14ac:dyDescent="0.25">
      <c r="A571" s="6"/>
      <c r="C571" s="3"/>
    </row>
    <row r="572" spans="1:3" ht="15.75" thickBot="1" x14ac:dyDescent="0.3">
      <c r="A572" s="5">
        <v>382</v>
      </c>
      <c r="C572" s="5">
        <v>352</v>
      </c>
    </row>
    <row r="573" spans="1:3" x14ac:dyDescent="0.25">
      <c r="A573" s="6"/>
      <c r="C573" s="3"/>
    </row>
    <row r="574" spans="1:3" ht="15.75" thickBot="1" x14ac:dyDescent="0.3">
      <c r="A574" s="5">
        <v>383</v>
      </c>
      <c r="C574" s="5">
        <v>352</v>
      </c>
    </row>
    <row r="575" spans="1:3" x14ac:dyDescent="0.25">
      <c r="A575" s="6"/>
      <c r="C575" s="3"/>
    </row>
    <row r="576" spans="1:3" ht="15.75" thickBot="1" x14ac:dyDescent="0.3">
      <c r="A576" s="5">
        <v>384</v>
      </c>
      <c r="C576" s="5">
        <v>352</v>
      </c>
    </row>
    <row r="577" spans="1:3" x14ac:dyDescent="0.25">
      <c r="A577" s="6"/>
      <c r="C577" s="3"/>
    </row>
    <row r="578" spans="1:3" ht="15.75" thickBot="1" x14ac:dyDescent="0.3">
      <c r="A578" s="5">
        <v>385</v>
      </c>
      <c r="C578" s="5">
        <v>353</v>
      </c>
    </row>
    <row r="579" spans="1:3" x14ac:dyDescent="0.25">
      <c r="A579" s="6"/>
      <c r="C579" s="3"/>
    </row>
    <row r="580" spans="1:3" ht="15.75" thickBot="1" x14ac:dyDescent="0.3">
      <c r="A580" s="5">
        <v>386</v>
      </c>
      <c r="C580" s="5">
        <v>354</v>
      </c>
    </row>
    <row r="581" spans="1:3" x14ac:dyDescent="0.25">
      <c r="A581" s="6"/>
      <c r="C581" s="3"/>
    </row>
    <row r="582" spans="1:3" ht="15.75" thickBot="1" x14ac:dyDescent="0.3">
      <c r="A582" s="5">
        <v>387</v>
      </c>
      <c r="C582" s="5">
        <v>354</v>
      </c>
    </row>
    <row r="583" spans="1:3" x14ac:dyDescent="0.25">
      <c r="A583" s="6"/>
      <c r="C583" s="3"/>
    </row>
    <row r="584" spans="1:3" ht="15.75" thickBot="1" x14ac:dyDescent="0.3">
      <c r="A584" s="5">
        <v>388</v>
      </c>
      <c r="C584" s="5">
        <v>355</v>
      </c>
    </row>
    <row r="585" spans="1:3" x14ac:dyDescent="0.25">
      <c r="A585" s="6"/>
      <c r="C585" s="3"/>
    </row>
    <row r="586" spans="1:3" ht="15.75" thickBot="1" x14ac:dyDescent="0.3">
      <c r="A586" s="5">
        <v>389</v>
      </c>
      <c r="C586" s="5">
        <v>356</v>
      </c>
    </row>
    <row r="587" spans="1:3" x14ac:dyDescent="0.25">
      <c r="A587" s="6"/>
      <c r="C587" s="3"/>
    </row>
    <row r="588" spans="1:3" ht="15.75" thickBot="1" x14ac:dyDescent="0.3">
      <c r="A588" s="5">
        <v>390</v>
      </c>
      <c r="C588" s="5">
        <v>357</v>
      </c>
    </row>
    <row r="589" spans="1:3" x14ac:dyDescent="0.25">
      <c r="A589" s="6"/>
      <c r="C589" s="3"/>
    </row>
    <row r="590" spans="1:3" ht="15.75" thickBot="1" x14ac:dyDescent="0.3">
      <c r="A590" s="5">
        <v>391</v>
      </c>
      <c r="C590" s="5">
        <v>357</v>
      </c>
    </row>
    <row r="591" spans="1:3" x14ac:dyDescent="0.25">
      <c r="A591" s="6"/>
      <c r="C591" s="3"/>
    </row>
    <row r="592" spans="1:3" ht="15.75" thickBot="1" x14ac:dyDescent="0.3">
      <c r="A592" s="5">
        <v>392</v>
      </c>
      <c r="C592" s="5">
        <v>357</v>
      </c>
    </row>
    <row r="593" spans="1:3" x14ac:dyDescent="0.25">
      <c r="A593" s="6"/>
      <c r="C593" s="3"/>
    </row>
    <row r="594" spans="1:3" ht="15.75" thickBot="1" x14ac:dyDescent="0.3">
      <c r="A594" s="5">
        <v>393</v>
      </c>
      <c r="C594" s="5">
        <v>358</v>
      </c>
    </row>
    <row r="595" spans="1:3" x14ac:dyDescent="0.25">
      <c r="A595" s="6"/>
      <c r="C595" s="3"/>
    </row>
    <row r="596" spans="1:3" ht="15.75" thickBot="1" x14ac:dyDescent="0.3">
      <c r="A596" s="5">
        <v>394</v>
      </c>
      <c r="C596" s="5">
        <v>359</v>
      </c>
    </row>
    <row r="597" spans="1:3" x14ac:dyDescent="0.25">
      <c r="A597" s="6"/>
      <c r="C597" s="3"/>
    </row>
    <row r="598" spans="1:3" ht="15.75" thickBot="1" x14ac:dyDescent="0.3">
      <c r="A598" s="5">
        <v>395</v>
      </c>
      <c r="C598" s="5">
        <v>359</v>
      </c>
    </row>
    <row r="599" spans="1:3" x14ac:dyDescent="0.25">
      <c r="A599" s="6"/>
      <c r="C599" s="3"/>
    </row>
    <row r="600" spans="1:3" ht="15.75" thickBot="1" x14ac:dyDescent="0.3">
      <c r="A600" s="5">
        <v>396</v>
      </c>
      <c r="C600" s="5">
        <v>360</v>
      </c>
    </row>
    <row r="601" spans="1:3" x14ac:dyDescent="0.25">
      <c r="A601" s="6"/>
      <c r="C601" s="3"/>
    </row>
    <row r="602" spans="1:3" ht="15.75" thickBot="1" x14ac:dyDescent="0.3">
      <c r="A602" s="5">
        <v>397</v>
      </c>
      <c r="C602" s="5">
        <v>361</v>
      </c>
    </row>
    <row r="603" spans="1:3" x14ac:dyDescent="0.25">
      <c r="A603" s="6"/>
      <c r="C603" s="3"/>
    </row>
    <row r="604" spans="1:3" ht="15.75" thickBot="1" x14ac:dyDescent="0.3">
      <c r="A604" s="5">
        <v>398</v>
      </c>
      <c r="C604" s="5">
        <v>362</v>
      </c>
    </row>
    <row r="605" spans="1:3" x14ac:dyDescent="0.25">
      <c r="A605" s="6"/>
      <c r="C605" s="3"/>
    </row>
    <row r="606" spans="1:3" ht="15.75" thickBot="1" x14ac:dyDescent="0.3">
      <c r="A606" s="5">
        <v>399</v>
      </c>
      <c r="C606" s="5">
        <v>362</v>
      </c>
    </row>
    <row r="607" spans="1:3" x14ac:dyDescent="0.25">
      <c r="A607" s="6"/>
      <c r="C607" s="3"/>
    </row>
    <row r="608" spans="1:3" ht="15.75" thickBot="1" x14ac:dyDescent="0.3">
      <c r="A608" s="5">
        <v>400</v>
      </c>
      <c r="C608" s="5">
        <v>363</v>
      </c>
    </row>
    <row r="609" spans="1:3" x14ac:dyDescent="0.25">
      <c r="A609" s="6"/>
      <c r="C609" s="3"/>
    </row>
    <row r="610" spans="1:3" ht="15.75" thickBot="1" x14ac:dyDescent="0.3">
      <c r="A610" s="5">
        <v>401</v>
      </c>
      <c r="C610" s="5">
        <v>363</v>
      </c>
    </row>
    <row r="611" spans="1:3" x14ac:dyDescent="0.25">
      <c r="A611" s="6"/>
      <c r="C611" s="3"/>
    </row>
    <row r="612" spans="1:3" ht="15.75" thickBot="1" x14ac:dyDescent="0.3">
      <c r="A612" s="5">
        <v>402</v>
      </c>
      <c r="C612" s="5">
        <v>364</v>
      </c>
    </row>
    <row r="613" spans="1:3" x14ac:dyDescent="0.25">
      <c r="A613" s="6"/>
      <c r="C613" s="3"/>
    </row>
    <row r="614" spans="1:3" ht="15.75" thickBot="1" x14ac:dyDescent="0.3">
      <c r="A614" s="5">
        <v>403</v>
      </c>
      <c r="C614" s="5">
        <v>364</v>
      </c>
    </row>
    <row r="615" spans="1:3" x14ac:dyDescent="0.25">
      <c r="A615" s="6"/>
      <c r="C615" s="3"/>
    </row>
    <row r="616" spans="1:3" ht="15.75" thickBot="1" x14ac:dyDescent="0.3">
      <c r="A616" s="5">
        <v>404</v>
      </c>
      <c r="C616" s="5">
        <v>365</v>
      </c>
    </row>
    <row r="617" spans="1:3" x14ac:dyDescent="0.25">
      <c r="A617" s="6"/>
      <c r="C617" s="3"/>
    </row>
    <row r="618" spans="1:3" ht="15.75" thickBot="1" x14ac:dyDescent="0.3">
      <c r="A618" s="5">
        <v>405</v>
      </c>
      <c r="C618" s="5">
        <v>366</v>
      </c>
    </row>
    <row r="619" spans="1:3" x14ac:dyDescent="0.25">
      <c r="A619" s="6"/>
      <c r="C619" s="3"/>
    </row>
    <row r="620" spans="1:3" ht="15.75" thickBot="1" x14ac:dyDescent="0.3">
      <c r="A620" s="5">
        <v>406</v>
      </c>
      <c r="C620" s="5">
        <v>366</v>
      </c>
    </row>
    <row r="621" spans="1:3" x14ac:dyDescent="0.25">
      <c r="A621" s="6"/>
      <c r="C621" s="3"/>
    </row>
    <row r="622" spans="1:3" ht="15.75" thickBot="1" x14ac:dyDescent="0.3">
      <c r="A622" s="5">
        <v>407</v>
      </c>
      <c r="C622" s="5">
        <v>367</v>
      </c>
    </row>
    <row r="623" spans="1:3" x14ac:dyDescent="0.25">
      <c r="A623" s="6"/>
      <c r="C623" s="3"/>
    </row>
    <row r="624" spans="1:3" ht="15.75" thickBot="1" x14ac:dyDescent="0.3">
      <c r="A624" s="5">
        <v>408</v>
      </c>
      <c r="C624" s="5">
        <v>367</v>
      </c>
    </row>
    <row r="625" spans="1:3" x14ac:dyDescent="0.25">
      <c r="A625" s="6"/>
      <c r="C625" s="3"/>
    </row>
    <row r="626" spans="1:3" ht="15.75" thickBot="1" x14ac:dyDescent="0.3">
      <c r="A626" s="5">
        <v>409</v>
      </c>
      <c r="C626" s="5">
        <v>368</v>
      </c>
    </row>
    <row r="627" spans="1:3" x14ac:dyDescent="0.25">
      <c r="A627" s="6"/>
      <c r="C627" s="3"/>
    </row>
    <row r="628" spans="1:3" ht="15.75" thickBot="1" x14ac:dyDescent="0.3">
      <c r="A628" s="5">
        <v>410</v>
      </c>
      <c r="C628" s="5">
        <v>368</v>
      </c>
    </row>
    <row r="629" spans="1:3" x14ac:dyDescent="0.25">
      <c r="A629" s="6"/>
      <c r="C629" s="3"/>
    </row>
    <row r="630" spans="1:3" ht="15.75" thickBot="1" x14ac:dyDescent="0.3">
      <c r="A630" s="5">
        <v>411</v>
      </c>
      <c r="C630" s="5">
        <v>368</v>
      </c>
    </row>
    <row r="631" spans="1:3" x14ac:dyDescent="0.25">
      <c r="A631" s="6"/>
      <c r="C631" s="3"/>
    </row>
    <row r="632" spans="1:3" ht="15.75" thickBot="1" x14ac:dyDescent="0.3">
      <c r="A632" s="5">
        <v>412</v>
      </c>
      <c r="C632" s="5">
        <v>368</v>
      </c>
    </row>
    <row r="633" spans="1:3" x14ac:dyDescent="0.25">
      <c r="A633" s="6"/>
      <c r="C633" s="3"/>
    </row>
    <row r="634" spans="1:3" ht="15.75" thickBot="1" x14ac:dyDescent="0.3">
      <c r="A634" s="5">
        <v>413</v>
      </c>
      <c r="C634" s="5">
        <v>369</v>
      </c>
    </row>
    <row r="635" spans="1:3" x14ac:dyDescent="0.25">
      <c r="A635" s="6"/>
      <c r="C635" s="3"/>
    </row>
    <row r="636" spans="1:3" ht="15.75" thickBot="1" x14ac:dyDescent="0.3">
      <c r="A636" s="5">
        <v>414</v>
      </c>
      <c r="C636" s="5">
        <v>369</v>
      </c>
    </row>
    <row r="637" spans="1:3" x14ac:dyDescent="0.25">
      <c r="A637" s="6"/>
      <c r="C637" s="3"/>
    </row>
    <row r="638" spans="1:3" ht="15.75" thickBot="1" x14ac:dyDescent="0.3">
      <c r="A638" s="5">
        <v>415</v>
      </c>
      <c r="C638" s="5">
        <v>369</v>
      </c>
    </row>
    <row r="639" spans="1:3" x14ac:dyDescent="0.25">
      <c r="A639" s="6"/>
      <c r="C639" s="3"/>
    </row>
    <row r="640" spans="1:3" ht="15.75" thickBot="1" x14ac:dyDescent="0.3">
      <c r="A640" s="5">
        <v>416</v>
      </c>
      <c r="C640" s="5">
        <v>370</v>
      </c>
    </row>
    <row r="641" spans="1:3" x14ac:dyDescent="0.25">
      <c r="A641" s="6"/>
      <c r="C641" s="3"/>
    </row>
    <row r="642" spans="1:3" ht="15.75" thickBot="1" x14ac:dyDescent="0.3">
      <c r="A642" s="5">
        <v>417</v>
      </c>
      <c r="C642" s="5">
        <v>371</v>
      </c>
    </row>
    <row r="643" spans="1:3" x14ac:dyDescent="0.25">
      <c r="A643" s="6"/>
      <c r="C643" s="3"/>
    </row>
    <row r="644" spans="1:3" ht="15.75" thickBot="1" x14ac:dyDescent="0.3">
      <c r="A644" s="5">
        <v>418</v>
      </c>
      <c r="C644" s="5">
        <v>371</v>
      </c>
    </row>
    <row r="645" spans="1:3" x14ac:dyDescent="0.25">
      <c r="A645" s="6"/>
      <c r="C645" s="3"/>
    </row>
    <row r="646" spans="1:3" ht="15.75" thickBot="1" x14ac:dyDescent="0.3">
      <c r="A646" s="5">
        <v>419</v>
      </c>
      <c r="C646" s="5">
        <v>372</v>
      </c>
    </row>
    <row r="647" spans="1:3" x14ac:dyDescent="0.25">
      <c r="A647" s="6"/>
      <c r="C647" s="3"/>
    </row>
    <row r="648" spans="1:3" ht="15.75" thickBot="1" x14ac:dyDescent="0.3">
      <c r="A648" s="5">
        <v>420</v>
      </c>
      <c r="C648" s="5">
        <v>373</v>
      </c>
    </row>
    <row r="649" spans="1:3" x14ac:dyDescent="0.25">
      <c r="A649" s="6"/>
      <c r="C649" s="3"/>
    </row>
    <row r="650" spans="1:3" ht="15.75" thickBot="1" x14ac:dyDescent="0.3">
      <c r="A650" s="5">
        <v>421</v>
      </c>
      <c r="C650" s="5">
        <v>374</v>
      </c>
    </row>
    <row r="651" spans="1:3" x14ac:dyDescent="0.25">
      <c r="A651" s="6"/>
      <c r="C651" s="3"/>
    </row>
    <row r="652" spans="1:3" ht="15.75" thickBot="1" x14ac:dyDescent="0.3">
      <c r="A652" s="5">
        <v>422</v>
      </c>
      <c r="C652" s="5">
        <v>375</v>
      </c>
    </row>
    <row r="653" spans="1:3" x14ac:dyDescent="0.25">
      <c r="A653" s="6"/>
      <c r="C653" s="3"/>
    </row>
    <row r="654" spans="1:3" ht="15.75" thickBot="1" x14ac:dyDescent="0.3">
      <c r="A654" s="5">
        <v>423</v>
      </c>
      <c r="C654" s="5">
        <v>376</v>
      </c>
    </row>
    <row r="655" spans="1:3" x14ac:dyDescent="0.25">
      <c r="A655" s="6"/>
      <c r="C655" s="3"/>
    </row>
    <row r="656" spans="1:3" ht="15.75" thickBot="1" x14ac:dyDescent="0.3">
      <c r="A656" s="5">
        <v>424</v>
      </c>
      <c r="C656" s="5">
        <v>377</v>
      </c>
    </row>
    <row r="657" spans="1:3" x14ac:dyDescent="0.25">
      <c r="A657" s="6"/>
      <c r="C657" s="3"/>
    </row>
    <row r="658" spans="1:3" ht="15.75" thickBot="1" x14ac:dyDescent="0.3">
      <c r="A658" s="5">
        <v>425</v>
      </c>
      <c r="C658" s="5">
        <v>377</v>
      </c>
    </row>
    <row r="659" spans="1:3" x14ac:dyDescent="0.25">
      <c r="A659" s="6"/>
      <c r="C659" s="3"/>
    </row>
    <row r="660" spans="1:3" ht="15.75" thickBot="1" x14ac:dyDescent="0.3">
      <c r="A660" s="5">
        <v>426</v>
      </c>
      <c r="C660" s="5">
        <v>378</v>
      </c>
    </row>
    <row r="661" spans="1:3" x14ac:dyDescent="0.25">
      <c r="A661" s="6"/>
      <c r="C661" s="3"/>
    </row>
    <row r="662" spans="1:3" ht="15.75" thickBot="1" x14ac:dyDescent="0.3">
      <c r="A662" s="5">
        <v>427</v>
      </c>
      <c r="C662" s="5">
        <v>379</v>
      </c>
    </row>
    <row r="663" spans="1:3" x14ac:dyDescent="0.25">
      <c r="A663" s="6"/>
      <c r="C663" s="3"/>
    </row>
    <row r="664" spans="1:3" ht="15.75" thickBot="1" x14ac:dyDescent="0.3">
      <c r="A664" s="5">
        <v>428</v>
      </c>
      <c r="C664" s="5">
        <v>379</v>
      </c>
    </row>
    <row r="665" spans="1:3" x14ac:dyDescent="0.25">
      <c r="A665" s="6"/>
      <c r="C665" s="3"/>
    </row>
    <row r="666" spans="1:3" ht="15.75" thickBot="1" x14ac:dyDescent="0.3">
      <c r="A666" s="5">
        <v>429</v>
      </c>
      <c r="C666" s="5">
        <v>379</v>
      </c>
    </row>
    <row r="667" spans="1:3" x14ac:dyDescent="0.25">
      <c r="A667" s="6"/>
      <c r="C667" s="3"/>
    </row>
    <row r="668" spans="1:3" ht="15.75" thickBot="1" x14ac:dyDescent="0.3">
      <c r="A668" s="5">
        <v>430</v>
      </c>
      <c r="C668" s="5">
        <v>380</v>
      </c>
    </row>
    <row r="669" spans="1:3" x14ac:dyDescent="0.25">
      <c r="A669" s="6"/>
      <c r="C669" s="3"/>
    </row>
    <row r="670" spans="1:3" ht="15.75" thickBot="1" x14ac:dyDescent="0.3">
      <c r="A670" s="5">
        <v>431</v>
      </c>
      <c r="C670" s="5">
        <v>381</v>
      </c>
    </row>
    <row r="671" spans="1:3" x14ac:dyDescent="0.25">
      <c r="A671" s="6"/>
      <c r="C671" s="3"/>
    </row>
    <row r="672" spans="1:3" ht="15.75" thickBot="1" x14ac:dyDescent="0.3">
      <c r="A672" s="5">
        <v>432</v>
      </c>
      <c r="C672" s="5">
        <v>382</v>
      </c>
    </row>
    <row r="673" spans="1:3" x14ac:dyDescent="0.25">
      <c r="A673" s="6"/>
      <c r="C673" s="3"/>
    </row>
    <row r="674" spans="1:3" ht="15.75" thickBot="1" x14ac:dyDescent="0.3">
      <c r="A674" s="5">
        <v>433</v>
      </c>
      <c r="C674" s="5">
        <v>382</v>
      </c>
    </row>
    <row r="675" spans="1:3" x14ac:dyDescent="0.25">
      <c r="A675" s="6"/>
      <c r="C675" s="3"/>
    </row>
    <row r="676" spans="1:3" ht="15.75" thickBot="1" x14ac:dyDescent="0.3">
      <c r="A676" s="5">
        <v>434</v>
      </c>
      <c r="C676" s="5">
        <v>383</v>
      </c>
    </row>
    <row r="677" spans="1:3" x14ac:dyDescent="0.25">
      <c r="A677" s="6"/>
      <c r="C677" s="3"/>
    </row>
    <row r="678" spans="1:3" ht="15.75" thickBot="1" x14ac:dyDescent="0.3">
      <c r="A678" s="5">
        <v>435</v>
      </c>
      <c r="C678" s="5">
        <v>384</v>
      </c>
    </row>
    <row r="679" spans="1:3" x14ac:dyDescent="0.25">
      <c r="A679" s="6"/>
      <c r="C679" s="3"/>
    </row>
    <row r="680" spans="1:3" ht="15.75" thickBot="1" x14ac:dyDescent="0.3">
      <c r="A680" s="5">
        <v>436</v>
      </c>
      <c r="C680" s="5">
        <v>384</v>
      </c>
    </row>
    <row r="681" spans="1:3" x14ac:dyDescent="0.25">
      <c r="A681" s="6"/>
      <c r="C681" s="3"/>
    </row>
    <row r="682" spans="1:3" ht="15.75" thickBot="1" x14ac:dyDescent="0.3">
      <c r="A682" s="5">
        <v>437</v>
      </c>
      <c r="C682" s="5">
        <v>385</v>
      </c>
    </row>
    <row r="683" spans="1:3" x14ac:dyDescent="0.25">
      <c r="A683" s="6"/>
      <c r="C683" s="3"/>
    </row>
    <row r="684" spans="1:3" ht="15.75" thickBot="1" x14ac:dyDescent="0.3">
      <c r="A684" s="5">
        <v>438</v>
      </c>
      <c r="C684" s="5">
        <v>386</v>
      </c>
    </row>
    <row r="685" spans="1:3" x14ac:dyDescent="0.25">
      <c r="A685" s="6"/>
      <c r="C685" s="3"/>
    </row>
    <row r="686" spans="1:3" ht="15.75" thickBot="1" x14ac:dyDescent="0.3">
      <c r="A686" s="5">
        <v>439</v>
      </c>
      <c r="C686" s="5">
        <v>387</v>
      </c>
    </row>
    <row r="687" spans="1:3" x14ac:dyDescent="0.25">
      <c r="A687" s="6"/>
      <c r="C687" s="3"/>
    </row>
    <row r="688" spans="1:3" ht="15.75" thickBot="1" x14ac:dyDescent="0.3">
      <c r="A688" s="5">
        <v>440</v>
      </c>
      <c r="C688" s="5">
        <v>387</v>
      </c>
    </row>
    <row r="689" spans="1:3" x14ac:dyDescent="0.25">
      <c r="A689" s="6"/>
      <c r="C689" s="3"/>
    </row>
    <row r="690" spans="1:3" ht="15.75" thickBot="1" x14ac:dyDescent="0.3">
      <c r="A690" s="5">
        <v>441</v>
      </c>
      <c r="C690" s="5">
        <v>388</v>
      </c>
    </row>
    <row r="691" spans="1:3" x14ac:dyDescent="0.25">
      <c r="A691" s="6"/>
      <c r="C691" s="3"/>
    </row>
    <row r="692" spans="1:3" ht="15.75" thickBot="1" x14ac:dyDescent="0.3">
      <c r="A692" s="5">
        <v>442</v>
      </c>
      <c r="C692" s="5">
        <v>389</v>
      </c>
    </row>
    <row r="693" spans="1:3" x14ac:dyDescent="0.25">
      <c r="A693" s="6"/>
      <c r="C693" s="3"/>
    </row>
    <row r="694" spans="1:3" ht="15.75" thickBot="1" x14ac:dyDescent="0.3">
      <c r="A694" s="5">
        <v>443</v>
      </c>
      <c r="C694" s="5">
        <v>390</v>
      </c>
    </row>
    <row r="695" spans="1:3" x14ac:dyDescent="0.25">
      <c r="A695" s="6"/>
      <c r="C695" s="3"/>
    </row>
    <row r="696" spans="1:3" ht="15.75" thickBot="1" x14ac:dyDescent="0.3">
      <c r="A696" s="5">
        <v>444</v>
      </c>
      <c r="C696" s="5">
        <v>390</v>
      </c>
    </row>
    <row r="697" spans="1:3" x14ac:dyDescent="0.25">
      <c r="A697" s="6"/>
      <c r="C697" s="3"/>
    </row>
    <row r="698" spans="1:3" ht="15.75" thickBot="1" x14ac:dyDescent="0.3">
      <c r="A698" s="5">
        <v>445</v>
      </c>
      <c r="C698" s="5">
        <v>391</v>
      </c>
    </row>
    <row r="699" spans="1:3" x14ac:dyDescent="0.25">
      <c r="A699" s="6"/>
      <c r="C699" s="3"/>
    </row>
    <row r="700" spans="1:3" ht="15.75" thickBot="1" x14ac:dyDescent="0.3">
      <c r="A700" s="5">
        <v>446</v>
      </c>
      <c r="C700" s="5">
        <v>392</v>
      </c>
    </row>
    <row r="701" spans="1:3" x14ac:dyDescent="0.25">
      <c r="A701" s="6"/>
      <c r="C701" s="3"/>
    </row>
    <row r="702" spans="1:3" ht="15.75" thickBot="1" x14ac:dyDescent="0.3">
      <c r="A702" s="5">
        <v>447</v>
      </c>
      <c r="C702" s="5">
        <v>393</v>
      </c>
    </row>
    <row r="703" spans="1:3" x14ac:dyDescent="0.25">
      <c r="A703" s="6"/>
      <c r="C703" s="3"/>
    </row>
    <row r="704" spans="1:3" ht="15.75" thickBot="1" x14ac:dyDescent="0.3">
      <c r="A704" s="5">
        <v>448</v>
      </c>
      <c r="C704" s="5">
        <v>393</v>
      </c>
    </row>
    <row r="705" spans="1:3" x14ac:dyDescent="0.25">
      <c r="A705" s="6"/>
      <c r="C705" s="3"/>
    </row>
    <row r="706" spans="1:3" ht="15.75" thickBot="1" x14ac:dyDescent="0.3">
      <c r="A706" s="5">
        <v>449</v>
      </c>
      <c r="C706" s="5">
        <v>394</v>
      </c>
    </row>
    <row r="707" spans="1:3" x14ac:dyDescent="0.25">
      <c r="A707" s="6"/>
      <c r="C707" s="3"/>
    </row>
    <row r="708" spans="1:3" ht="15.75" thickBot="1" x14ac:dyDescent="0.3">
      <c r="A708" s="5">
        <v>450</v>
      </c>
      <c r="C708" s="5">
        <v>395</v>
      </c>
    </row>
    <row r="709" spans="1:3" x14ac:dyDescent="0.25">
      <c r="A709" s="6"/>
      <c r="C709" s="3"/>
    </row>
    <row r="710" spans="1:3" ht="15.75" thickBot="1" x14ac:dyDescent="0.3">
      <c r="A710" s="5">
        <v>451</v>
      </c>
      <c r="C710" s="5">
        <v>396</v>
      </c>
    </row>
    <row r="711" spans="1:3" x14ac:dyDescent="0.25">
      <c r="A711" s="6"/>
      <c r="C711" s="3"/>
    </row>
    <row r="712" spans="1:3" ht="15.75" thickBot="1" x14ac:dyDescent="0.3">
      <c r="A712" s="5">
        <v>452</v>
      </c>
      <c r="C712" s="5">
        <v>396</v>
      </c>
    </row>
    <row r="713" spans="1:3" x14ac:dyDescent="0.25">
      <c r="A713" s="6"/>
      <c r="C713" s="3"/>
    </row>
    <row r="714" spans="1:3" ht="15.75" thickBot="1" x14ac:dyDescent="0.3">
      <c r="A714" s="5">
        <v>453</v>
      </c>
      <c r="C714" s="5">
        <v>397</v>
      </c>
    </row>
    <row r="715" spans="1:3" x14ac:dyDescent="0.25">
      <c r="A715" s="6"/>
      <c r="C715" s="3"/>
    </row>
    <row r="716" spans="1:3" ht="15.75" thickBot="1" x14ac:dyDescent="0.3">
      <c r="A716" s="5">
        <v>454</v>
      </c>
      <c r="C716" s="5">
        <v>398</v>
      </c>
    </row>
    <row r="717" spans="1:3" x14ac:dyDescent="0.25">
      <c r="A717" s="6"/>
      <c r="C717" s="3"/>
    </row>
    <row r="718" spans="1:3" ht="15.75" thickBot="1" x14ac:dyDescent="0.3">
      <c r="A718" s="5">
        <v>455</v>
      </c>
      <c r="C718" s="5">
        <v>398</v>
      </c>
    </row>
    <row r="719" spans="1:3" x14ac:dyDescent="0.25">
      <c r="A719" s="6"/>
      <c r="C719" s="3"/>
    </row>
    <row r="720" spans="1:3" ht="15.75" thickBot="1" x14ac:dyDescent="0.3">
      <c r="A720" s="5">
        <v>456</v>
      </c>
      <c r="C720" s="5">
        <v>399</v>
      </c>
    </row>
    <row r="721" spans="1:3" x14ac:dyDescent="0.25">
      <c r="A721" s="6"/>
      <c r="C721" s="3"/>
    </row>
    <row r="722" spans="1:3" ht="15.75" thickBot="1" x14ac:dyDescent="0.3">
      <c r="A722" s="5">
        <v>457</v>
      </c>
      <c r="C722" s="5">
        <v>400</v>
      </c>
    </row>
    <row r="723" spans="1:3" x14ac:dyDescent="0.25">
      <c r="A723" s="6"/>
      <c r="C723" s="3"/>
    </row>
    <row r="724" spans="1:3" ht="15.75" thickBot="1" x14ac:dyDescent="0.3">
      <c r="A724" s="5">
        <v>458</v>
      </c>
      <c r="C724" s="5">
        <v>401</v>
      </c>
    </row>
    <row r="725" spans="1:3" x14ac:dyDescent="0.25">
      <c r="A725" s="6"/>
      <c r="C725" s="3"/>
    </row>
    <row r="726" spans="1:3" ht="15.75" thickBot="1" x14ac:dyDescent="0.3">
      <c r="A726" s="5">
        <v>459</v>
      </c>
      <c r="C726" s="5">
        <v>402</v>
      </c>
    </row>
    <row r="727" spans="1:3" x14ac:dyDescent="0.25">
      <c r="A727" s="6"/>
      <c r="C727" s="3"/>
    </row>
    <row r="728" spans="1:3" ht="15.75" thickBot="1" x14ac:dyDescent="0.3">
      <c r="A728" s="5">
        <v>460</v>
      </c>
      <c r="C728" s="5">
        <v>403</v>
      </c>
    </row>
    <row r="729" spans="1:3" x14ac:dyDescent="0.25">
      <c r="A729" s="6"/>
      <c r="C729" s="3"/>
    </row>
    <row r="730" spans="1:3" ht="15.75" thickBot="1" x14ac:dyDescent="0.3">
      <c r="A730" s="5">
        <v>461</v>
      </c>
      <c r="C730" s="5">
        <v>404</v>
      </c>
    </row>
    <row r="731" spans="1:3" x14ac:dyDescent="0.25">
      <c r="A731" s="6"/>
      <c r="C731" s="3"/>
    </row>
    <row r="732" spans="1:3" ht="15.75" thickBot="1" x14ac:dyDescent="0.3">
      <c r="A732" s="5">
        <v>462</v>
      </c>
      <c r="C732" s="5">
        <v>405</v>
      </c>
    </row>
    <row r="733" spans="1:3" x14ac:dyDescent="0.25">
      <c r="A733" s="6"/>
      <c r="C733" s="3"/>
    </row>
    <row r="734" spans="1:3" ht="15.75" thickBot="1" x14ac:dyDescent="0.3">
      <c r="A734" s="5">
        <v>463</v>
      </c>
      <c r="C734" s="5">
        <v>405</v>
      </c>
    </row>
    <row r="735" spans="1:3" x14ac:dyDescent="0.25">
      <c r="A735" s="6"/>
      <c r="C735" s="3"/>
    </row>
    <row r="736" spans="1:3" ht="15.75" thickBot="1" x14ac:dyDescent="0.3">
      <c r="A736" s="5">
        <v>464</v>
      </c>
      <c r="C736" s="5">
        <v>406</v>
      </c>
    </row>
    <row r="737" spans="1:3" x14ac:dyDescent="0.25">
      <c r="A737" s="6"/>
      <c r="C737" s="3"/>
    </row>
    <row r="738" spans="1:3" ht="15.75" thickBot="1" x14ac:dyDescent="0.3">
      <c r="A738" s="5">
        <v>465</v>
      </c>
      <c r="C738" s="5">
        <v>407</v>
      </c>
    </row>
    <row r="739" spans="1:3" x14ac:dyDescent="0.25">
      <c r="A739" s="6"/>
      <c r="C739" s="3"/>
    </row>
    <row r="740" spans="1:3" ht="15.75" thickBot="1" x14ac:dyDescent="0.3">
      <c r="A740" s="5">
        <v>466</v>
      </c>
      <c r="C740" s="5">
        <v>408</v>
      </c>
    </row>
    <row r="741" spans="1:3" x14ac:dyDescent="0.25">
      <c r="A741" s="6"/>
      <c r="C741" s="3"/>
    </row>
    <row r="742" spans="1:3" ht="15.75" thickBot="1" x14ac:dyDescent="0.3">
      <c r="A742" s="5">
        <v>467</v>
      </c>
      <c r="C742" s="5">
        <v>408</v>
      </c>
    </row>
    <row r="743" spans="1:3" x14ac:dyDescent="0.25">
      <c r="A743" s="6"/>
      <c r="C743" s="3"/>
    </row>
    <row r="744" spans="1:3" ht="15.75" thickBot="1" x14ac:dyDescent="0.3">
      <c r="A744" s="5">
        <v>468</v>
      </c>
      <c r="C744" s="5">
        <v>409</v>
      </c>
    </row>
    <row r="745" spans="1:3" x14ac:dyDescent="0.25">
      <c r="A745" s="6"/>
      <c r="C745" s="3"/>
    </row>
    <row r="746" spans="1:3" ht="15.75" thickBot="1" x14ac:dyDescent="0.3">
      <c r="A746" s="5">
        <v>469</v>
      </c>
      <c r="C746" s="5">
        <v>410</v>
      </c>
    </row>
    <row r="747" spans="1:3" x14ac:dyDescent="0.25">
      <c r="A747" s="6"/>
      <c r="C747" s="3"/>
    </row>
    <row r="748" spans="1:3" ht="15.75" thickBot="1" x14ac:dyDescent="0.3">
      <c r="A748" s="5">
        <v>470</v>
      </c>
      <c r="C748" s="5">
        <v>411</v>
      </c>
    </row>
    <row r="749" spans="1:3" x14ac:dyDescent="0.25">
      <c r="A749" s="6"/>
      <c r="C749" s="3"/>
    </row>
    <row r="750" spans="1:3" ht="15.75" thickBot="1" x14ac:dyDescent="0.3">
      <c r="A750" s="5">
        <v>471</v>
      </c>
      <c r="C750" s="5">
        <v>411</v>
      </c>
    </row>
    <row r="751" spans="1:3" x14ac:dyDescent="0.25">
      <c r="A751" s="6"/>
      <c r="C751" s="3"/>
    </row>
    <row r="752" spans="1:3" ht="15.75" thickBot="1" x14ac:dyDescent="0.3">
      <c r="A752" s="5">
        <v>472</v>
      </c>
      <c r="C752" s="5">
        <v>412</v>
      </c>
    </row>
    <row r="753" spans="1:3" x14ac:dyDescent="0.25">
      <c r="A753" s="6"/>
      <c r="C753" s="3"/>
    </row>
    <row r="754" spans="1:3" ht="15.75" thickBot="1" x14ac:dyDescent="0.3">
      <c r="A754" s="5">
        <v>473</v>
      </c>
      <c r="C754" s="5">
        <v>412</v>
      </c>
    </row>
    <row r="755" spans="1:3" x14ac:dyDescent="0.25">
      <c r="A755" s="6"/>
      <c r="C755" s="3"/>
    </row>
    <row r="756" spans="1:3" ht="15.75" thickBot="1" x14ac:dyDescent="0.3">
      <c r="A756" s="5">
        <v>474</v>
      </c>
      <c r="C756" s="5">
        <v>413</v>
      </c>
    </row>
    <row r="757" spans="1:3" x14ac:dyDescent="0.25">
      <c r="A757" s="6"/>
      <c r="C757" s="3"/>
    </row>
    <row r="758" spans="1:3" ht="15.75" thickBot="1" x14ac:dyDescent="0.3">
      <c r="A758" s="5">
        <v>475</v>
      </c>
      <c r="C758" s="5">
        <v>413</v>
      </c>
    </row>
    <row r="759" spans="1:3" x14ac:dyDescent="0.25">
      <c r="A759" s="6"/>
      <c r="C759" s="3"/>
    </row>
    <row r="760" spans="1:3" ht="15.75" thickBot="1" x14ac:dyDescent="0.3">
      <c r="A760" s="5">
        <v>476</v>
      </c>
      <c r="C760" s="5">
        <v>414</v>
      </c>
    </row>
    <row r="761" spans="1:3" x14ac:dyDescent="0.25">
      <c r="A761" s="6"/>
      <c r="C761" s="3"/>
    </row>
    <row r="762" spans="1:3" ht="15.75" thickBot="1" x14ac:dyDescent="0.3">
      <c r="A762" s="5">
        <v>477</v>
      </c>
      <c r="C762" s="5">
        <v>415</v>
      </c>
    </row>
    <row r="763" spans="1:3" x14ac:dyDescent="0.25">
      <c r="A763" s="6"/>
      <c r="C763" s="3"/>
    </row>
    <row r="764" spans="1:3" ht="15.75" thickBot="1" x14ac:dyDescent="0.3">
      <c r="A764" s="5">
        <v>478</v>
      </c>
      <c r="C764" s="5">
        <v>415</v>
      </c>
    </row>
    <row r="765" spans="1:3" x14ac:dyDescent="0.25">
      <c r="A765" s="6"/>
      <c r="C765" s="3"/>
    </row>
    <row r="766" spans="1:3" ht="15.75" thickBot="1" x14ac:dyDescent="0.3">
      <c r="A766" s="5">
        <v>479</v>
      </c>
      <c r="C766" s="5">
        <v>416</v>
      </c>
    </row>
    <row r="767" spans="1:3" x14ac:dyDescent="0.25">
      <c r="A767" s="6"/>
      <c r="C767" s="3"/>
    </row>
    <row r="768" spans="1:3" ht="15.75" thickBot="1" x14ac:dyDescent="0.3">
      <c r="A768" s="5">
        <v>480</v>
      </c>
      <c r="C768" s="5">
        <v>416</v>
      </c>
    </row>
    <row r="769" spans="1:3" x14ac:dyDescent="0.25">
      <c r="A769" s="6"/>
      <c r="C769" s="3"/>
    </row>
    <row r="770" spans="1:3" ht="15.75" thickBot="1" x14ac:dyDescent="0.3">
      <c r="A770" s="5">
        <v>481</v>
      </c>
      <c r="C770" s="5">
        <v>417</v>
      </c>
    </row>
    <row r="771" spans="1:3" x14ac:dyDescent="0.25">
      <c r="A771" s="6"/>
      <c r="C771" s="3"/>
    </row>
    <row r="772" spans="1:3" ht="15.75" thickBot="1" x14ac:dyDescent="0.3">
      <c r="A772" s="5">
        <v>482</v>
      </c>
      <c r="C772" s="5">
        <v>417</v>
      </c>
    </row>
    <row r="773" spans="1:3" x14ac:dyDescent="0.25">
      <c r="A773" s="6"/>
      <c r="C773" s="3"/>
    </row>
    <row r="774" spans="1:3" ht="15.75" thickBot="1" x14ac:dyDescent="0.3">
      <c r="A774" s="5">
        <v>483</v>
      </c>
      <c r="C774" s="5">
        <v>418</v>
      </c>
    </row>
    <row r="775" spans="1:3" x14ac:dyDescent="0.25">
      <c r="A775" s="6"/>
      <c r="C775" s="3"/>
    </row>
    <row r="776" spans="1:3" ht="15.75" thickBot="1" x14ac:dyDescent="0.3">
      <c r="A776" s="5">
        <v>484</v>
      </c>
      <c r="C776" s="5">
        <v>419</v>
      </c>
    </row>
    <row r="777" spans="1:3" x14ac:dyDescent="0.25">
      <c r="A777" s="6"/>
      <c r="C777" s="3"/>
    </row>
    <row r="778" spans="1:3" ht="15.75" thickBot="1" x14ac:dyDescent="0.3">
      <c r="A778" s="5">
        <v>485</v>
      </c>
      <c r="C778" s="5">
        <v>420</v>
      </c>
    </row>
    <row r="779" spans="1:3" x14ac:dyDescent="0.25">
      <c r="A779" s="6"/>
      <c r="C779" s="3"/>
    </row>
    <row r="780" spans="1:3" ht="15.75" thickBot="1" x14ac:dyDescent="0.3">
      <c r="A780" s="5">
        <v>486</v>
      </c>
      <c r="C780" s="5">
        <v>420</v>
      </c>
    </row>
    <row r="781" spans="1:3" x14ac:dyDescent="0.25">
      <c r="A781" s="6"/>
      <c r="C781" s="3"/>
    </row>
    <row r="782" spans="1:3" ht="15.75" thickBot="1" x14ac:dyDescent="0.3">
      <c r="A782" s="5">
        <v>487</v>
      </c>
      <c r="C782" s="5">
        <v>421</v>
      </c>
    </row>
    <row r="783" spans="1:3" x14ac:dyDescent="0.25">
      <c r="A783" s="6"/>
      <c r="C783" s="3"/>
    </row>
    <row r="784" spans="1:3" ht="15.75" thickBot="1" x14ac:dyDescent="0.3">
      <c r="A784" s="5">
        <v>488</v>
      </c>
      <c r="C784" s="5">
        <v>422</v>
      </c>
    </row>
    <row r="785" spans="1:3" x14ac:dyDescent="0.25">
      <c r="A785" s="6"/>
      <c r="C785" s="3"/>
    </row>
    <row r="786" spans="1:3" ht="15.75" thickBot="1" x14ac:dyDescent="0.3">
      <c r="A786" s="5">
        <v>489</v>
      </c>
      <c r="C786" s="5">
        <v>422</v>
      </c>
    </row>
    <row r="787" spans="1:3" x14ac:dyDescent="0.25">
      <c r="A787" s="6"/>
      <c r="C787" s="3"/>
    </row>
    <row r="788" spans="1:3" ht="15.75" thickBot="1" x14ac:dyDescent="0.3">
      <c r="A788" s="5">
        <v>490</v>
      </c>
      <c r="C788" s="5">
        <v>423</v>
      </c>
    </row>
    <row r="789" spans="1:3" x14ac:dyDescent="0.25">
      <c r="A789" s="6"/>
      <c r="C789" s="3"/>
    </row>
    <row r="790" spans="1:3" ht="15.75" thickBot="1" x14ac:dyDescent="0.3">
      <c r="A790" s="5">
        <v>491</v>
      </c>
      <c r="C790" s="5">
        <v>424</v>
      </c>
    </row>
    <row r="791" spans="1:3" x14ac:dyDescent="0.25">
      <c r="A791" s="6"/>
      <c r="C791" s="3"/>
    </row>
    <row r="792" spans="1:3" ht="15.75" thickBot="1" x14ac:dyDescent="0.3">
      <c r="A792" s="5">
        <v>492</v>
      </c>
      <c r="C792" s="5">
        <v>425</v>
      </c>
    </row>
    <row r="793" spans="1:3" x14ac:dyDescent="0.25">
      <c r="A793" s="6"/>
      <c r="C793" s="3"/>
    </row>
    <row r="794" spans="1:3" ht="15.75" thickBot="1" x14ac:dyDescent="0.3">
      <c r="A794" s="5">
        <v>493</v>
      </c>
      <c r="C794" s="5">
        <v>425</v>
      </c>
    </row>
    <row r="795" spans="1:3" x14ac:dyDescent="0.25">
      <c r="A795" s="6"/>
      <c r="C795" s="3"/>
    </row>
    <row r="796" spans="1:3" ht="15.75" thickBot="1" x14ac:dyDescent="0.3">
      <c r="A796" s="5">
        <v>494</v>
      </c>
      <c r="C796" s="5">
        <v>426</v>
      </c>
    </row>
    <row r="797" spans="1:3" x14ac:dyDescent="0.25">
      <c r="A797" s="6"/>
      <c r="C797" s="3"/>
    </row>
    <row r="798" spans="1:3" ht="15.75" thickBot="1" x14ac:dyDescent="0.3">
      <c r="A798" s="5">
        <v>495</v>
      </c>
      <c r="C798" s="5">
        <v>427</v>
      </c>
    </row>
    <row r="799" spans="1:3" x14ac:dyDescent="0.25">
      <c r="A799" s="6"/>
      <c r="C799" s="3"/>
    </row>
    <row r="800" spans="1:3" ht="15.75" thickBot="1" x14ac:dyDescent="0.3">
      <c r="A800" s="5">
        <v>496</v>
      </c>
      <c r="C800" s="5">
        <v>428</v>
      </c>
    </row>
    <row r="801" spans="1:3" x14ac:dyDescent="0.25">
      <c r="A801" s="6"/>
      <c r="C801" s="3"/>
    </row>
    <row r="802" spans="1:3" ht="15.75" thickBot="1" x14ac:dyDescent="0.3">
      <c r="A802" s="5">
        <v>497</v>
      </c>
      <c r="C802" s="5">
        <v>428</v>
      </c>
    </row>
    <row r="803" spans="1:3" x14ac:dyDescent="0.25">
      <c r="A803" s="6"/>
      <c r="C803" s="3"/>
    </row>
    <row r="804" spans="1:3" ht="15.75" thickBot="1" x14ac:dyDescent="0.3">
      <c r="A804" s="5">
        <v>498</v>
      </c>
      <c r="C804" s="5">
        <v>429</v>
      </c>
    </row>
    <row r="805" spans="1:3" x14ac:dyDescent="0.25">
      <c r="A805" s="6"/>
      <c r="C805" s="3"/>
    </row>
    <row r="806" spans="1:3" ht="15.75" thickBot="1" x14ac:dyDescent="0.3">
      <c r="A806" s="5">
        <v>499</v>
      </c>
      <c r="C806" s="5">
        <v>430</v>
      </c>
    </row>
    <row r="807" spans="1:3" x14ac:dyDescent="0.25">
      <c r="A807" s="6"/>
      <c r="C807" s="3"/>
    </row>
    <row r="808" spans="1:3" ht="15.75" thickBot="1" x14ac:dyDescent="0.3">
      <c r="A808" s="5">
        <v>500</v>
      </c>
      <c r="C808" s="5">
        <v>431</v>
      </c>
    </row>
    <row r="809" spans="1:3" x14ac:dyDescent="0.25">
      <c r="A809" s="6"/>
      <c r="C809" s="3"/>
    </row>
    <row r="810" spans="1:3" ht="15.75" thickBot="1" x14ac:dyDescent="0.3">
      <c r="A810" s="5">
        <v>501</v>
      </c>
      <c r="C810" s="5">
        <v>432</v>
      </c>
    </row>
    <row r="811" spans="1:3" x14ac:dyDescent="0.25">
      <c r="A811" s="6"/>
      <c r="C811" s="3"/>
    </row>
    <row r="812" spans="1:3" ht="15.75" thickBot="1" x14ac:dyDescent="0.3">
      <c r="A812" s="5">
        <v>502</v>
      </c>
      <c r="C812" s="5">
        <v>433</v>
      </c>
    </row>
    <row r="813" spans="1:3" x14ac:dyDescent="0.25">
      <c r="A813" s="6"/>
      <c r="C813" s="3"/>
    </row>
    <row r="814" spans="1:3" ht="15.75" thickBot="1" x14ac:dyDescent="0.3">
      <c r="A814" s="5">
        <v>503</v>
      </c>
      <c r="C814" s="5">
        <v>434</v>
      </c>
    </row>
    <row r="815" spans="1:3" x14ac:dyDescent="0.25">
      <c r="A815" s="6"/>
      <c r="C815" s="3"/>
    </row>
    <row r="816" spans="1:3" ht="15.75" thickBot="1" x14ac:dyDescent="0.3">
      <c r="A816" s="5">
        <v>504</v>
      </c>
      <c r="C816" s="5">
        <v>434</v>
      </c>
    </row>
    <row r="817" spans="1:3" x14ac:dyDescent="0.25">
      <c r="A817" s="6"/>
      <c r="C817" s="3"/>
    </row>
    <row r="818" spans="1:3" ht="15.75" thickBot="1" x14ac:dyDescent="0.3">
      <c r="A818" s="5">
        <v>505</v>
      </c>
      <c r="C818" s="5">
        <v>435</v>
      </c>
    </row>
    <row r="819" spans="1:3" x14ac:dyDescent="0.25">
      <c r="A819" s="6"/>
      <c r="C819" s="3"/>
    </row>
    <row r="820" spans="1:3" ht="15.75" thickBot="1" x14ac:dyDescent="0.3">
      <c r="A820" s="5">
        <v>506</v>
      </c>
      <c r="C820" s="5">
        <v>436</v>
      </c>
    </row>
    <row r="821" spans="1:3" x14ac:dyDescent="0.25">
      <c r="A821" s="6"/>
      <c r="C821" s="3"/>
    </row>
    <row r="822" spans="1:3" ht="15.75" thickBot="1" x14ac:dyDescent="0.3">
      <c r="A822" s="5">
        <v>507</v>
      </c>
      <c r="C822" s="5">
        <v>437</v>
      </c>
    </row>
    <row r="823" spans="1:3" x14ac:dyDescent="0.25">
      <c r="A823" s="6"/>
      <c r="C823" s="3"/>
    </row>
    <row r="824" spans="1:3" ht="15.75" thickBot="1" x14ac:dyDescent="0.3">
      <c r="A824" s="5">
        <v>508</v>
      </c>
      <c r="C824" s="5">
        <v>437</v>
      </c>
    </row>
    <row r="825" spans="1:3" x14ac:dyDescent="0.25">
      <c r="A825" s="6"/>
      <c r="C825" s="3"/>
    </row>
    <row r="826" spans="1:3" ht="15.75" thickBot="1" x14ac:dyDescent="0.3">
      <c r="A826" s="5">
        <v>509</v>
      </c>
      <c r="C826" s="5">
        <v>438</v>
      </c>
    </row>
    <row r="827" spans="1:3" x14ac:dyDescent="0.25">
      <c r="A827" s="6"/>
      <c r="C827" s="3"/>
    </row>
    <row r="828" spans="1:3" ht="15.75" thickBot="1" x14ac:dyDescent="0.3">
      <c r="A828" s="5">
        <v>510</v>
      </c>
      <c r="C828" s="5">
        <v>439</v>
      </c>
    </row>
    <row r="829" spans="1:3" x14ac:dyDescent="0.25">
      <c r="A829" s="6"/>
      <c r="C829" s="3"/>
    </row>
    <row r="830" spans="1:3" ht="15.75" thickBot="1" x14ac:dyDescent="0.3">
      <c r="A830" s="5">
        <v>511</v>
      </c>
      <c r="C830" s="5">
        <v>440</v>
      </c>
    </row>
    <row r="831" spans="1:3" x14ac:dyDescent="0.25">
      <c r="A831" s="6"/>
      <c r="C831" s="3"/>
    </row>
    <row r="832" spans="1:3" ht="15.75" thickBot="1" x14ac:dyDescent="0.3">
      <c r="A832" s="5">
        <v>512</v>
      </c>
      <c r="C832" s="5">
        <v>440</v>
      </c>
    </row>
    <row r="833" spans="1:3" x14ac:dyDescent="0.25">
      <c r="A833" s="6"/>
      <c r="C833" s="3"/>
    </row>
    <row r="834" spans="1:3" ht="15.75" thickBot="1" x14ac:dyDescent="0.3">
      <c r="A834" s="5">
        <v>513</v>
      </c>
      <c r="C834" s="5">
        <v>441</v>
      </c>
    </row>
    <row r="835" spans="1:3" x14ac:dyDescent="0.25">
      <c r="A835" s="6"/>
      <c r="C835" s="3"/>
    </row>
    <row r="836" spans="1:3" ht="15.75" thickBot="1" x14ac:dyDescent="0.3">
      <c r="A836" s="5">
        <v>514</v>
      </c>
      <c r="C836" s="5">
        <v>442</v>
      </c>
    </row>
    <row r="837" spans="1:3" x14ac:dyDescent="0.25">
      <c r="A837" s="6"/>
      <c r="C837" s="3"/>
    </row>
    <row r="838" spans="1:3" ht="15.75" thickBot="1" x14ac:dyDescent="0.3">
      <c r="A838" s="5">
        <v>515</v>
      </c>
      <c r="C838" s="5">
        <v>443</v>
      </c>
    </row>
    <row r="839" spans="1:3" x14ac:dyDescent="0.25">
      <c r="A839" s="6"/>
      <c r="C839" s="3"/>
    </row>
    <row r="840" spans="1:3" ht="15.75" thickBot="1" x14ac:dyDescent="0.3">
      <c r="A840" s="5">
        <v>516</v>
      </c>
      <c r="C840" s="5">
        <v>443</v>
      </c>
    </row>
    <row r="841" spans="1:3" x14ac:dyDescent="0.25">
      <c r="A841" s="6"/>
      <c r="C841" s="3"/>
    </row>
    <row r="842" spans="1:3" ht="15.75" thickBot="1" x14ac:dyDescent="0.3">
      <c r="A842" s="5">
        <v>517</v>
      </c>
      <c r="C842" s="5">
        <v>444</v>
      </c>
    </row>
    <row r="843" spans="1:3" x14ac:dyDescent="0.25">
      <c r="A843" s="6"/>
      <c r="C843" s="3"/>
    </row>
    <row r="844" spans="1:3" ht="15.75" thickBot="1" x14ac:dyDescent="0.3">
      <c r="A844" s="5">
        <v>518</v>
      </c>
      <c r="C844" s="5">
        <v>445</v>
      </c>
    </row>
    <row r="845" spans="1:3" x14ac:dyDescent="0.25">
      <c r="A845" s="6"/>
      <c r="C845" s="3"/>
    </row>
    <row r="846" spans="1:3" ht="15.75" thickBot="1" x14ac:dyDescent="0.3">
      <c r="A846" s="5">
        <v>519</v>
      </c>
      <c r="C846" s="5">
        <v>446</v>
      </c>
    </row>
    <row r="847" spans="1:3" x14ac:dyDescent="0.25">
      <c r="A847" s="6"/>
      <c r="C847" s="3"/>
    </row>
    <row r="848" spans="1:3" ht="15.75" thickBot="1" x14ac:dyDescent="0.3">
      <c r="A848" s="5">
        <v>520</v>
      </c>
      <c r="C848" s="5">
        <v>446</v>
      </c>
    </row>
    <row r="849" spans="1:3" x14ac:dyDescent="0.25">
      <c r="A849" s="6"/>
      <c r="C849" s="3"/>
    </row>
    <row r="850" spans="1:3" ht="15.75" thickBot="1" x14ac:dyDescent="0.3">
      <c r="A850" s="5">
        <v>521</v>
      </c>
      <c r="C850" s="5">
        <v>447</v>
      </c>
    </row>
    <row r="851" spans="1:3" x14ac:dyDescent="0.25">
      <c r="A851" s="6"/>
      <c r="C851" s="3"/>
    </row>
    <row r="852" spans="1:3" ht="15.75" thickBot="1" x14ac:dyDescent="0.3">
      <c r="A852" s="5">
        <v>522</v>
      </c>
      <c r="C852" s="5">
        <v>448</v>
      </c>
    </row>
    <row r="853" spans="1:3" x14ac:dyDescent="0.25">
      <c r="A853" s="6"/>
      <c r="C853" s="3"/>
    </row>
    <row r="854" spans="1:3" ht="15.75" thickBot="1" x14ac:dyDescent="0.3">
      <c r="A854" s="5">
        <v>523</v>
      </c>
      <c r="C854" s="5">
        <v>448</v>
      </c>
    </row>
    <row r="855" spans="1:3" x14ac:dyDescent="0.25">
      <c r="A855" s="6"/>
      <c r="C855" s="3"/>
    </row>
    <row r="856" spans="1:3" ht="15.75" thickBot="1" x14ac:dyDescent="0.3">
      <c r="A856" s="5">
        <v>524</v>
      </c>
      <c r="C856" s="5">
        <v>449</v>
      </c>
    </row>
    <row r="857" spans="1:3" x14ac:dyDescent="0.25">
      <c r="A857" s="6"/>
      <c r="C857" s="3"/>
    </row>
    <row r="858" spans="1:3" ht="15.75" thickBot="1" x14ac:dyDescent="0.3">
      <c r="A858" s="5">
        <v>525</v>
      </c>
      <c r="C858" s="5">
        <v>450</v>
      </c>
    </row>
    <row r="859" spans="1:3" x14ac:dyDescent="0.25">
      <c r="A859" s="6"/>
      <c r="C859" s="3"/>
    </row>
    <row r="860" spans="1:3" ht="15.75" thickBot="1" x14ac:dyDescent="0.3">
      <c r="A860" s="5">
        <v>526</v>
      </c>
      <c r="C860" s="5">
        <v>451</v>
      </c>
    </row>
    <row r="861" spans="1:3" x14ac:dyDescent="0.25">
      <c r="A861" s="6"/>
      <c r="C861" s="3"/>
    </row>
    <row r="862" spans="1:3" ht="15.75" thickBot="1" x14ac:dyDescent="0.3">
      <c r="A862" s="5">
        <v>527</v>
      </c>
      <c r="C862" s="5">
        <v>451</v>
      </c>
    </row>
    <row r="863" spans="1:3" x14ac:dyDescent="0.25">
      <c r="A863" s="6"/>
      <c r="C863" s="3"/>
    </row>
    <row r="864" spans="1:3" ht="15.75" thickBot="1" x14ac:dyDescent="0.3">
      <c r="A864" s="5">
        <v>528</v>
      </c>
      <c r="C864" s="5">
        <v>452</v>
      </c>
    </row>
    <row r="865" spans="1:3" x14ac:dyDescent="0.25">
      <c r="A865" s="6"/>
      <c r="C865" s="3"/>
    </row>
    <row r="866" spans="1:3" ht="15.75" thickBot="1" x14ac:dyDescent="0.3">
      <c r="A866" s="5">
        <v>529</v>
      </c>
      <c r="C866" s="5">
        <v>453</v>
      </c>
    </row>
    <row r="867" spans="1:3" x14ac:dyDescent="0.25">
      <c r="A867" s="6"/>
      <c r="C867" s="3"/>
    </row>
    <row r="868" spans="1:3" ht="15.75" thickBot="1" x14ac:dyDescent="0.3">
      <c r="A868" s="5">
        <v>530</v>
      </c>
      <c r="C868" s="5">
        <v>454</v>
      </c>
    </row>
    <row r="869" spans="1:3" x14ac:dyDescent="0.25">
      <c r="A869" s="6"/>
      <c r="C869" s="3"/>
    </row>
    <row r="870" spans="1:3" ht="15.75" thickBot="1" x14ac:dyDescent="0.3">
      <c r="A870" s="5">
        <v>531</v>
      </c>
      <c r="C870" s="5">
        <v>454</v>
      </c>
    </row>
    <row r="871" spans="1:3" x14ac:dyDescent="0.25">
      <c r="A871" s="6"/>
      <c r="C871" s="3"/>
    </row>
    <row r="872" spans="1:3" ht="15.75" thickBot="1" x14ac:dyDescent="0.3">
      <c r="A872" s="5">
        <v>532</v>
      </c>
      <c r="C872" s="5">
        <v>455</v>
      </c>
    </row>
    <row r="873" spans="1:3" x14ac:dyDescent="0.25">
      <c r="A873" s="6"/>
      <c r="C873" s="3"/>
    </row>
    <row r="874" spans="1:3" ht="15.75" thickBot="1" x14ac:dyDescent="0.3">
      <c r="A874" s="5">
        <v>533</v>
      </c>
      <c r="C874" s="5">
        <v>456</v>
      </c>
    </row>
    <row r="875" spans="1:3" x14ac:dyDescent="0.25">
      <c r="A875" s="6"/>
      <c r="C875" s="3"/>
    </row>
    <row r="876" spans="1:3" ht="15.75" thickBot="1" x14ac:dyDescent="0.3">
      <c r="A876" s="5">
        <v>534</v>
      </c>
      <c r="C876" s="5">
        <v>456</v>
      </c>
    </row>
    <row r="877" spans="1:3" x14ac:dyDescent="0.25">
      <c r="A877" s="6"/>
      <c r="C877" s="3"/>
    </row>
    <row r="878" spans="1:3" ht="15.75" thickBot="1" x14ac:dyDescent="0.3">
      <c r="A878" s="5">
        <v>535</v>
      </c>
      <c r="C878" s="5">
        <v>456</v>
      </c>
    </row>
    <row r="879" spans="1:3" x14ac:dyDescent="0.25">
      <c r="A879" s="6"/>
      <c r="C879" s="3"/>
    </row>
    <row r="880" spans="1:3" ht="15.75" thickBot="1" x14ac:dyDescent="0.3">
      <c r="A880" s="5">
        <v>536</v>
      </c>
      <c r="C880" s="5">
        <v>457</v>
      </c>
    </row>
    <row r="881" spans="1:3" x14ac:dyDescent="0.25">
      <c r="A881" s="6"/>
      <c r="C881" s="3"/>
    </row>
    <row r="882" spans="1:3" ht="15.75" thickBot="1" x14ac:dyDescent="0.3">
      <c r="A882" s="5">
        <v>537</v>
      </c>
      <c r="C882" s="5">
        <v>457</v>
      </c>
    </row>
    <row r="883" spans="1:3" x14ac:dyDescent="0.25">
      <c r="A883" s="6"/>
      <c r="C883" s="3"/>
    </row>
    <row r="884" spans="1:3" ht="15.75" thickBot="1" x14ac:dyDescent="0.3">
      <c r="A884" s="5">
        <v>538</v>
      </c>
      <c r="C884" s="5">
        <v>457</v>
      </c>
    </row>
    <row r="885" spans="1:3" x14ac:dyDescent="0.25">
      <c r="A885" s="6"/>
      <c r="C885" s="3"/>
    </row>
    <row r="886" spans="1:3" ht="15.75" thickBot="1" x14ac:dyDescent="0.3">
      <c r="A886" s="5">
        <v>539</v>
      </c>
      <c r="C886" s="5">
        <v>458</v>
      </c>
    </row>
    <row r="887" spans="1:3" x14ac:dyDescent="0.25">
      <c r="A887" s="6"/>
      <c r="C887" s="3"/>
    </row>
    <row r="888" spans="1:3" ht="15.75" thickBot="1" x14ac:dyDescent="0.3">
      <c r="A888" s="5">
        <v>540</v>
      </c>
      <c r="C888" s="5">
        <v>459</v>
      </c>
    </row>
    <row r="889" spans="1:3" x14ac:dyDescent="0.25">
      <c r="A889" s="6"/>
      <c r="C889" s="3"/>
    </row>
    <row r="890" spans="1:3" ht="15.75" thickBot="1" x14ac:dyDescent="0.3">
      <c r="A890" s="5">
        <v>541</v>
      </c>
      <c r="C890" s="5">
        <v>460</v>
      </c>
    </row>
    <row r="891" spans="1:3" x14ac:dyDescent="0.25">
      <c r="A891" s="6"/>
      <c r="C891" s="3"/>
    </row>
    <row r="892" spans="1:3" ht="15.75" thickBot="1" x14ac:dyDescent="0.3">
      <c r="A892" s="5">
        <v>542</v>
      </c>
      <c r="C892" s="5">
        <v>461</v>
      </c>
    </row>
    <row r="893" spans="1:3" x14ac:dyDescent="0.25">
      <c r="A893" s="6"/>
      <c r="C893" s="3"/>
    </row>
    <row r="894" spans="1:3" ht="15.75" thickBot="1" x14ac:dyDescent="0.3">
      <c r="A894" s="5">
        <v>543</v>
      </c>
      <c r="C894" s="5">
        <v>462</v>
      </c>
    </row>
    <row r="895" spans="1:3" x14ac:dyDescent="0.25">
      <c r="A895" s="6"/>
      <c r="C895" s="3"/>
    </row>
    <row r="896" spans="1:3" ht="15.75" thickBot="1" x14ac:dyDescent="0.3">
      <c r="A896" s="5">
        <v>544</v>
      </c>
      <c r="C896" s="5">
        <v>463</v>
      </c>
    </row>
    <row r="897" spans="1:3" x14ac:dyDescent="0.25">
      <c r="A897" s="6"/>
      <c r="C897" s="3"/>
    </row>
    <row r="898" spans="1:3" ht="15.75" thickBot="1" x14ac:dyDescent="0.3">
      <c r="A898" s="5">
        <v>545</v>
      </c>
      <c r="C898" s="5">
        <v>464</v>
      </c>
    </row>
    <row r="899" spans="1:3" x14ac:dyDescent="0.25">
      <c r="A899" s="6"/>
      <c r="C899" s="3"/>
    </row>
    <row r="900" spans="1:3" ht="15.75" thickBot="1" x14ac:dyDescent="0.3">
      <c r="A900" s="5">
        <v>546</v>
      </c>
      <c r="C900" s="5">
        <v>464</v>
      </c>
    </row>
    <row r="901" spans="1:3" x14ac:dyDescent="0.25">
      <c r="A901" s="6"/>
      <c r="C901" s="3"/>
    </row>
    <row r="902" spans="1:3" ht="15.75" thickBot="1" x14ac:dyDescent="0.3">
      <c r="A902" s="5">
        <v>547</v>
      </c>
      <c r="C902" s="5">
        <v>465</v>
      </c>
    </row>
    <row r="903" spans="1:3" x14ac:dyDescent="0.25">
      <c r="A903" s="6"/>
      <c r="C903" s="3"/>
    </row>
    <row r="904" spans="1:3" ht="15.75" thickBot="1" x14ac:dyDescent="0.3">
      <c r="A904" s="5">
        <v>548</v>
      </c>
      <c r="C904" s="5">
        <v>466</v>
      </c>
    </row>
    <row r="905" spans="1:3" x14ac:dyDescent="0.25">
      <c r="A905" s="6"/>
      <c r="C905" s="3"/>
    </row>
    <row r="906" spans="1:3" ht="15.75" thickBot="1" x14ac:dyDescent="0.3">
      <c r="A906" s="5">
        <v>549</v>
      </c>
      <c r="C906" s="5">
        <v>467</v>
      </c>
    </row>
    <row r="907" spans="1:3" x14ac:dyDescent="0.25">
      <c r="A907" s="6"/>
      <c r="C907" s="3"/>
    </row>
    <row r="908" spans="1:3" ht="15.75" thickBot="1" x14ac:dyDescent="0.3">
      <c r="A908" s="5">
        <v>550</v>
      </c>
      <c r="C908" s="5">
        <v>467</v>
      </c>
    </row>
    <row r="909" spans="1:3" x14ac:dyDescent="0.25">
      <c r="A909" s="6"/>
      <c r="C909" s="3"/>
    </row>
    <row r="910" spans="1:3" ht="15.75" thickBot="1" x14ac:dyDescent="0.3">
      <c r="A910" s="5">
        <v>551</v>
      </c>
      <c r="C910" s="5">
        <v>468</v>
      </c>
    </row>
    <row r="911" spans="1:3" x14ac:dyDescent="0.25">
      <c r="A911" s="6"/>
      <c r="C911" s="3"/>
    </row>
    <row r="912" spans="1:3" ht="15.75" thickBot="1" x14ac:dyDescent="0.3">
      <c r="A912" s="5">
        <v>552</v>
      </c>
      <c r="C912" s="5">
        <v>469</v>
      </c>
    </row>
    <row r="913" spans="1:3" x14ac:dyDescent="0.25">
      <c r="A913" s="6"/>
      <c r="C913" s="3"/>
    </row>
    <row r="914" spans="1:3" ht="15.75" thickBot="1" x14ac:dyDescent="0.3">
      <c r="A914" s="5">
        <v>553</v>
      </c>
      <c r="C914" s="5">
        <v>469</v>
      </c>
    </row>
    <row r="915" spans="1:3" x14ac:dyDescent="0.25">
      <c r="A915" s="6"/>
      <c r="C915" s="3"/>
    </row>
    <row r="916" spans="1:3" ht="15.75" thickBot="1" x14ac:dyDescent="0.3">
      <c r="A916" s="5">
        <v>554</v>
      </c>
      <c r="C916" s="5">
        <v>470</v>
      </c>
    </row>
    <row r="917" spans="1:3" x14ac:dyDescent="0.25">
      <c r="A917" s="6"/>
      <c r="C917" s="3"/>
    </row>
    <row r="918" spans="1:3" ht="15.75" thickBot="1" x14ac:dyDescent="0.3">
      <c r="A918" s="5">
        <v>555</v>
      </c>
      <c r="C918" s="5">
        <v>471</v>
      </c>
    </row>
    <row r="919" spans="1:3" x14ac:dyDescent="0.25">
      <c r="A919" s="6"/>
      <c r="C919" s="3"/>
    </row>
    <row r="920" spans="1:3" ht="15.75" thickBot="1" x14ac:dyDescent="0.3">
      <c r="A920" s="5">
        <v>556</v>
      </c>
      <c r="C920" s="5">
        <v>472</v>
      </c>
    </row>
    <row r="921" spans="1:3" x14ac:dyDescent="0.25">
      <c r="A921" s="6"/>
      <c r="C921" s="3"/>
    </row>
    <row r="922" spans="1:3" ht="15.75" thickBot="1" x14ac:dyDescent="0.3">
      <c r="A922" s="5">
        <v>557</v>
      </c>
      <c r="C922" s="5">
        <v>472</v>
      </c>
    </row>
    <row r="923" spans="1:3" x14ac:dyDescent="0.25">
      <c r="A923" s="6"/>
      <c r="C923" s="3"/>
    </row>
    <row r="924" spans="1:3" ht="15.75" thickBot="1" x14ac:dyDescent="0.3">
      <c r="A924" s="5">
        <v>558</v>
      </c>
      <c r="C924" s="5">
        <v>473</v>
      </c>
    </row>
    <row r="925" spans="1:3" x14ac:dyDescent="0.25">
      <c r="A925" s="6"/>
      <c r="C925" s="3"/>
    </row>
    <row r="926" spans="1:3" ht="15.75" thickBot="1" x14ac:dyDescent="0.3">
      <c r="A926" s="5">
        <v>559</v>
      </c>
      <c r="C926" s="5">
        <v>474</v>
      </c>
    </row>
    <row r="927" spans="1:3" x14ac:dyDescent="0.25">
      <c r="A927" s="6"/>
      <c r="C927" s="3"/>
    </row>
    <row r="928" spans="1:3" ht="15.75" thickBot="1" x14ac:dyDescent="0.3">
      <c r="A928" s="5">
        <v>560</v>
      </c>
      <c r="C928" s="5">
        <v>475</v>
      </c>
    </row>
    <row r="929" spans="1:3" x14ac:dyDescent="0.25">
      <c r="A929" s="6"/>
      <c r="C929" s="3"/>
    </row>
    <row r="930" spans="1:3" ht="15.75" thickBot="1" x14ac:dyDescent="0.3">
      <c r="A930" s="5">
        <v>561</v>
      </c>
      <c r="C930" s="5">
        <v>475</v>
      </c>
    </row>
    <row r="931" spans="1:3" x14ac:dyDescent="0.25">
      <c r="A931" s="6"/>
      <c r="C931" s="3"/>
    </row>
    <row r="932" spans="1:3" ht="15.75" thickBot="1" x14ac:dyDescent="0.3">
      <c r="A932" s="5">
        <v>562</v>
      </c>
      <c r="C932" s="5">
        <v>476</v>
      </c>
    </row>
    <row r="933" spans="1:3" x14ac:dyDescent="0.25">
      <c r="A933" s="6"/>
      <c r="C933" s="3"/>
    </row>
    <row r="934" spans="1:3" ht="15.75" thickBot="1" x14ac:dyDescent="0.3">
      <c r="A934" s="5">
        <v>563</v>
      </c>
      <c r="C934" s="5">
        <v>477</v>
      </c>
    </row>
    <row r="935" spans="1:3" x14ac:dyDescent="0.25">
      <c r="A935" s="6"/>
      <c r="C935" s="3"/>
    </row>
    <row r="936" spans="1:3" ht="15.75" thickBot="1" x14ac:dyDescent="0.3">
      <c r="A936" s="5">
        <v>564</v>
      </c>
      <c r="C936" s="5">
        <v>478</v>
      </c>
    </row>
    <row r="937" spans="1:3" x14ac:dyDescent="0.25">
      <c r="A937" s="6"/>
      <c r="C937" s="3"/>
    </row>
    <row r="938" spans="1:3" ht="15.75" thickBot="1" x14ac:dyDescent="0.3">
      <c r="A938" s="5">
        <v>565</v>
      </c>
      <c r="C938" s="5">
        <v>478</v>
      </c>
    </row>
    <row r="939" spans="1:3" x14ac:dyDescent="0.25">
      <c r="A939" s="6"/>
      <c r="C939" s="3"/>
    </row>
    <row r="940" spans="1:3" ht="15.75" thickBot="1" x14ac:dyDescent="0.3">
      <c r="A940" s="5">
        <v>566</v>
      </c>
      <c r="C940" s="5">
        <v>479</v>
      </c>
    </row>
    <row r="941" spans="1:3" x14ac:dyDescent="0.25">
      <c r="A941" s="6"/>
      <c r="C941" s="3"/>
    </row>
    <row r="942" spans="1:3" ht="15.75" thickBot="1" x14ac:dyDescent="0.3">
      <c r="A942" s="5">
        <v>567</v>
      </c>
      <c r="C942" s="5">
        <v>480</v>
      </c>
    </row>
    <row r="943" spans="1:3" x14ac:dyDescent="0.25">
      <c r="A943" s="6"/>
      <c r="C943" s="3"/>
    </row>
    <row r="944" spans="1:3" ht="15.75" thickBot="1" x14ac:dyDescent="0.3">
      <c r="A944" s="5">
        <v>568</v>
      </c>
      <c r="C944" s="5">
        <v>481</v>
      </c>
    </row>
    <row r="945" spans="1:3" x14ac:dyDescent="0.25">
      <c r="A945" s="6"/>
      <c r="C945" s="3"/>
    </row>
    <row r="946" spans="1:3" ht="15.75" thickBot="1" x14ac:dyDescent="0.3">
      <c r="A946" s="5">
        <v>569</v>
      </c>
      <c r="C946" s="5">
        <v>481</v>
      </c>
    </row>
    <row r="947" spans="1:3" x14ac:dyDescent="0.25">
      <c r="A947" s="6"/>
      <c r="C947" s="3"/>
    </row>
    <row r="948" spans="1:3" ht="15.75" thickBot="1" x14ac:dyDescent="0.3">
      <c r="A948" s="5">
        <v>570</v>
      </c>
      <c r="C948" s="5">
        <v>482</v>
      </c>
    </row>
    <row r="949" spans="1:3" x14ac:dyDescent="0.25">
      <c r="A949" s="6"/>
      <c r="C949" s="3"/>
    </row>
    <row r="950" spans="1:3" ht="15.75" thickBot="1" x14ac:dyDescent="0.3">
      <c r="A950" s="5">
        <v>571</v>
      </c>
      <c r="C950" s="5">
        <v>483</v>
      </c>
    </row>
    <row r="951" spans="1:3" x14ac:dyDescent="0.25">
      <c r="A951" s="6"/>
      <c r="C951" s="3"/>
    </row>
    <row r="952" spans="1:3" ht="15.75" thickBot="1" x14ac:dyDescent="0.3">
      <c r="A952" s="5">
        <v>572</v>
      </c>
      <c r="C952" s="5">
        <v>483</v>
      </c>
    </row>
    <row r="953" spans="1:3" x14ac:dyDescent="0.25">
      <c r="A953" s="6"/>
      <c r="C953" s="3"/>
    </row>
    <row r="954" spans="1:3" ht="15.75" thickBot="1" x14ac:dyDescent="0.3">
      <c r="A954" s="5">
        <v>573</v>
      </c>
      <c r="C954" s="5">
        <v>484</v>
      </c>
    </row>
    <row r="955" spans="1:3" x14ac:dyDescent="0.25">
      <c r="A955" s="6"/>
      <c r="C955" s="3"/>
    </row>
    <row r="956" spans="1:3" ht="15.75" thickBot="1" x14ac:dyDescent="0.3">
      <c r="A956" s="5">
        <v>574</v>
      </c>
      <c r="C956" s="5">
        <v>485</v>
      </c>
    </row>
    <row r="957" spans="1:3" x14ac:dyDescent="0.25">
      <c r="A957" s="6"/>
      <c r="C957" s="3"/>
    </row>
    <row r="958" spans="1:3" ht="15.75" thickBot="1" x14ac:dyDescent="0.3">
      <c r="A958" s="5">
        <v>575</v>
      </c>
      <c r="C958" s="5">
        <v>486</v>
      </c>
    </row>
    <row r="959" spans="1:3" x14ac:dyDescent="0.25">
      <c r="A959" s="6"/>
      <c r="C959" s="3"/>
    </row>
    <row r="960" spans="1:3" ht="15.75" thickBot="1" x14ac:dyDescent="0.3">
      <c r="A960" s="5">
        <v>576</v>
      </c>
      <c r="C960" s="5">
        <v>486</v>
      </c>
    </row>
    <row r="961" spans="1:3" x14ac:dyDescent="0.25">
      <c r="A961" s="6"/>
      <c r="C961" s="3"/>
    </row>
    <row r="962" spans="1:3" ht="15.75" thickBot="1" x14ac:dyDescent="0.3">
      <c r="A962" s="5">
        <v>577</v>
      </c>
      <c r="C962" s="5">
        <v>487</v>
      </c>
    </row>
    <row r="963" spans="1:3" x14ac:dyDescent="0.25">
      <c r="A963" s="6"/>
      <c r="C963" s="3"/>
    </row>
    <row r="964" spans="1:3" ht="15.75" thickBot="1" x14ac:dyDescent="0.3">
      <c r="A964" s="5">
        <v>578</v>
      </c>
      <c r="C964" s="5">
        <v>488</v>
      </c>
    </row>
    <row r="965" spans="1:3" x14ac:dyDescent="0.25">
      <c r="A965" s="6"/>
      <c r="C965" s="3"/>
    </row>
    <row r="966" spans="1:3" ht="15.75" thickBot="1" x14ac:dyDescent="0.3">
      <c r="A966" s="5">
        <v>579</v>
      </c>
      <c r="C966" s="5">
        <v>489</v>
      </c>
    </row>
    <row r="967" spans="1:3" x14ac:dyDescent="0.25">
      <c r="A967" s="6"/>
      <c r="C967" s="3"/>
    </row>
    <row r="968" spans="1:3" ht="15.75" thickBot="1" x14ac:dyDescent="0.3">
      <c r="A968" s="5">
        <v>580</v>
      </c>
      <c r="C968" s="5">
        <v>490</v>
      </c>
    </row>
    <row r="969" spans="1:3" x14ac:dyDescent="0.25">
      <c r="A969" s="6"/>
      <c r="C969" s="3"/>
    </row>
    <row r="970" spans="1:3" ht="15.75" thickBot="1" x14ac:dyDescent="0.3">
      <c r="A970" s="5">
        <v>581</v>
      </c>
      <c r="C970" s="5">
        <v>491</v>
      </c>
    </row>
    <row r="971" spans="1:3" x14ac:dyDescent="0.25">
      <c r="A971" s="6"/>
      <c r="C971" s="3"/>
    </row>
    <row r="972" spans="1:3" ht="15.75" thickBot="1" x14ac:dyDescent="0.3">
      <c r="A972" s="5">
        <v>582</v>
      </c>
      <c r="C972" s="5">
        <v>492</v>
      </c>
    </row>
    <row r="973" spans="1:3" x14ac:dyDescent="0.25">
      <c r="A973" s="6"/>
      <c r="C973" s="3"/>
    </row>
    <row r="974" spans="1:3" ht="15.75" thickBot="1" x14ac:dyDescent="0.3">
      <c r="A974" s="5">
        <v>583</v>
      </c>
      <c r="C974" s="5">
        <v>493</v>
      </c>
    </row>
    <row r="975" spans="1:3" x14ac:dyDescent="0.25">
      <c r="A975" s="6"/>
      <c r="C975" s="3"/>
    </row>
    <row r="976" spans="1:3" ht="15.75" thickBot="1" x14ac:dyDescent="0.3">
      <c r="A976" s="5">
        <v>584</v>
      </c>
      <c r="C976" s="5">
        <v>493</v>
      </c>
    </row>
    <row r="977" spans="1:3" x14ac:dyDescent="0.25">
      <c r="A977" s="6"/>
      <c r="C977" s="3"/>
    </row>
    <row r="978" spans="1:3" ht="15.75" thickBot="1" x14ac:dyDescent="0.3">
      <c r="A978" s="5">
        <v>585</v>
      </c>
      <c r="C978" s="5">
        <v>494</v>
      </c>
    </row>
    <row r="979" spans="1:3" x14ac:dyDescent="0.25">
      <c r="A979" s="6"/>
      <c r="C979" s="3"/>
    </row>
    <row r="980" spans="1:3" ht="15.75" thickBot="1" x14ac:dyDescent="0.3">
      <c r="A980" s="5">
        <v>586</v>
      </c>
      <c r="C980" s="5">
        <v>495</v>
      </c>
    </row>
    <row r="981" spans="1:3" x14ac:dyDescent="0.25">
      <c r="A981" s="6"/>
      <c r="C981" s="3"/>
    </row>
    <row r="982" spans="1:3" ht="15.75" thickBot="1" x14ac:dyDescent="0.3">
      <c r="A982" s="5">
        <v>587</v>
      </c>
      <c r="C982" s="5">
        <v>495</v>
      </c>
    </row>
    <row r="983" spans="1:3" x14ac:dyDescent="0.25">
      <c r="A983" s="6"/>
      <c r="C983" s="3"/>
    </row>
    <row r="984" spans="1:3" ht="15.75" thickBot="1" x14ac:dyDescent="0.3">
      <c r="A984" s="5">
        <v>588</v>
      </c>
      <c r="C984" s="5">
        <v>496</v>
      </c>
    </row>
    <row r="985" spans="1:3" x14ac:dyDescent="0.25">
      <c r="A985" s="6"/>
      <c r="C985" s="3"/>
    </row>
    <row r="986" spans="1:3" ht="15.75" thickBot="1" x14ac:dyDescent="0.3">
      <c r="A986" s="5">
        <v>589</v>
      </c>
      <c r="C986" s="5">
        <v>497</v>
      </c>
    </row>
    <row r="987" spans="1:3" x14ac:dyDescent="0.25">
      <c r="A987" s="6"/>
      <c r="C987" s="3"/>
    </row>
    <row r="988" spans="1:3" ht="15.75" thickBot="1" x14ac:dyDescent="0.3">
      <c r="A988" s="5">
        <v>590</v>
      </c>
      <c r="C988" s="5">
        <v>498</v>
      </c>
    </row>
    <row r="989" spans="1:3" x14ac:dyDescent="0.25">
      <c r="A989" s="6"/>
      <c r="C989" s="3"/>
    </row>
    <row r="990" spans="1:3" ht="15.75" thickBot="1" x14ac:dyDescent="0.3">
      <c r="A990" s="5">
        <v>591</v>
      </c>
      <c r="C990" s="5">
        <v>498</v>
      </c>
    </row>
    <row r="991" spans="1:3" x14ac:dyDescent="0.25">
      <c r="A991" s="6"/>
      <c r="C991" s="3"/>
    </row>
    <row r="992" spans="1:3" ht="15.75" thickBot="1" x14ac:dyDescent="0.3">
      <c r="A992" s="5">
        <v>592</v>
      </c>
      <c r="C992" s="5">
        <v>499</v>
      </c>
    </row>
    <row r="993" spans="1:3" x14ac:dyDescent="0.25">
      <c r="A993" s="6"/>
      <c r="C993" s="3"/>
    </row>
    <row r="994" spans="1:3" ht="15.75" thickBot="1" x14ac:dyDescent="0.3">
      <c r="A994" s="5">
        <v>593</v>
      </c>
      <c r="C994" s="5">
        <v>500</v>
      </c>
    </row>
    <row r="995" spans="1:3" x14ac:dyDescent="0.25">
      <c r="A995" s="6"/>
      <c r="C995" s="3"/>
    </row>
    <row r="996" spans="1:3" ht="15.75" thickBot="1" x14ac:dyDescent="0.3">
      <c r="A996" s="5">
        <v>594</v>
      </c>
      <c r="C996" s="5">
        <v>501</v>
      </c>
    </row>
    <row r="997" spans="1:3" x14ac:dyDescent="0.25">
      <c r="A997" s="6"/>
      <c r="C997" s="3"/>
    </row>
    <row r="998" spans="1:3" ht="15.75" thickBot="1" x14ac:dyDescent="0.3">
      <c r="A998" s="5">
        <v>595</v>
      </c>
      <c r="C998" s="5">
        <v>501</v>
      </c>
    </row>
    <row r="999" spans="1:3" x14ac:dyDescent="0.25">
      <c r="A999" s="6"/>
      <c r="C999" s="3"/>
    </row>
    <row r="1000" spans="1:3" ht="15.75" thickBot="1" x14ac:dyDescent="0.3">
      <c r="A1000" s="5">
        <v>596</v>
      </c>
      <c r="C1000" s="5">
        <v>502</v>
      </c>
    </row>
    <row r="1001" spans="1:3" x14ac:dyDescent="0.25">
      <c r="A1001" s="6"/>
      <c r="C1001" s="3"/>
    </row>
    <row r="1002" spans="1:3" ht="15.75" thickBot="1" x14ac:dyDescent="0.3">
      <c r="A1002" s="5">
        <v>597</v>
      </c>
      <c r="C1002" s="5">
        <v>503</v>
      </c>
    </row>
    <row r="1003" spans="1:3" x14ac:dyDescent="0.25">
      <c r="A1003" s="6"/>
      <c r="C1003" s="3"/>
    </row>
    <row r="1004" spans="1:3" ht="15.75" thickBot="1" x14ac:dyDescent="0.3">
      <c r="A1004" s="5">
        <v>598</v>
      </c>
      <c r="C1004" s="5">
        <v>504</v>
      </c>
    </row>
    <row r="1005" spans="1:3" x14ac:dyDescent="0.25">
      <c r="A1005" s="6"/>
      <c r="C1005" s="3"/>
    </row>
    <row r="1006" spans="1:3" ht="15.75" thickBot="1" x14ac:dyDescent="0.3">
      <c r="A1006" s="5">
        <v>599</v>
      </c>
      <c r="C1006" s="5">
        <v>504</v>
      </c>
    </row>
    <row r="1007" spans="1:3" x14ac:dyDescent="0.25">
      <c r="A1007" s="6"/>
      <c r="C1007" s="3"/>
    </row>
    <row r="1008" spans="1:3" ht="15.75" thickBot="1" x14ac:dyDescent="0.3">
      <c r="A1008" s="5">
        <v>600</v>
      </c>
      <c r="C1008" s="5">
        <v>505</v>
      </c>
    </row>
    <row r="1009" spans="1:3" x14ac:dyDescent="0.25">
      <c r="A1009" s="6"/>
      <c r="C1009" s="3"/>
    </row>
    <row r="1010" spans="1:3" ht="15.75" thickBot="1" x14ac:dyDescent="0.3">
      <c r="A1010" s="5">
        <v>601</v>
      </c>
      <c r="C1010" s="5">
        <v>506</v>
      </c>
    </row>
    <row r="1011" spans="1:3" x14ac:dyDescent="0.25">
      <c r="A1011" s="6"/>
      <c r="C1011" s="3"/>
    </row>
    <row r="1012" spans="1:3" ht="15.75" thickBot="1" x14ac:dyDescent="0.3">
      <c r="A1012" s="5">
        <v>602</v>
      </c>
      <c r="C1012" s="5">
        <v>507</v>
      </c>
    </row>
    <row r="1013" spans="1:3" x14ac:dyDescent="0.25">
      <c r="A1013" s="6"/>
      <c r="C1013" s="3"/>
    </row>
    <row r="1014" spans="1:3" ht="15.75" thickBot="1" x14ac:dyDescent="0.3">
      <c r="A1014" s="5">
        <v>603</v>
      </c>
      <c r="C1014" s="5">
        <v>507</v>
      </c>
    </row>
    <row r="1015" spans="1:3" x14ac:dyDescent="0.25">
      <c r="A1015" s="6"/>
      <c r="C1015" s="3"/>
    </row>
    <row r="1016" spans="1:3" ht="15.75" thickBot="1" x14ac:dyDescent="0.3">
      <c r="A1016" s="5">
        <v>604</v>
      </c>
      <c r="C1016" s="5">
        <v>508</v>
      </c>
    </row>
    <row r="1017" spans="1:3" x14ac:dyDescent="0.25">
      <c r="A1017" s="6"/>
      <c r="C1017" s="3"/>
    </row>
    <row r="1018" spans="1:3" ht="15.75" thickBot="1" x14ac:dyDescent="0.3">
      <c r="A1018" s="5">
        <v>605</v>
      </c>
      <c r="C1018" s="5">
        <v>509</v>
      </c>
    </row>
    <row r="1019" spans="1:3" x14ac:dyDescent="0.25">
      <c r="A1019" s="6"/>
      <c r="C1019" s="3"/>
    </row>
    <row r="1020" spans="1:3" ht="15.75" thickBot="1" x14ac:dyDescent="0.3">
      <c r="A1020" s="5">
        <v>606</v>
      </c>
      <c r="C1020" s="5">
        <v>509</v>
      </c>
    </row>
    <row r="1021" spans="1:3" x14ac:dyDescent="0.25">
      <c r="A1021" s="6"/>
      <c r="C1021" s="3"/>
    </row>
    <row r="1022" spans="1:3" ht="15.75" thickBot="1" x14ac:dyDescent="0.3">
      <c r="A1022" s="5">
        <v>607</v>
      </c>
      <c r="C1022" s="5">
        <v>510</v>
      </c>
    </row>
    <row r="1023" spans="1:3" x14ac:dyDescent="0.25">
      <c r="A1023" s="6"/>
      <c r="C1023" s="3"/>
    </row>
    <row r="1024" spans="1:3" ht="15.75" thickBot="1" x14ac:dyDescent="0.3">
      <c r="A1024" s="5">
        <v>608</v>
      </c>
      <c r="C1024" s="5">
        <v>511</v>
      </c>
    </row>
    <row r="1025" spans="1:3" x14ac:dyDescent="0.25">
      <c r="A1025" s="6"/>
      <c r="C1025" s="3"/>
    </row>
    <row r="1026" spans="1:3" ht="15.75" thickBot="1" x14ac:dyDescent="0.3">
      <c r="A1026" s="5">
        <v>609</v>
      </c>
      <c r="C1026" s="5">
        <v>512</v>
      </c>
    </row>
    <row r="1027" spans="1:3" x14ac:dyDescent="0.25">
      <c r="A1027" s="6"/>
      <c r="C1027" s="3"/>
    </row>
    <row r="1028" spans="1:3" ht="15.75" thickBot="1" x14ac:dyDescent="0.3">
      <c r="A1028" s="5">
        <v>610</v>
      </c>
      <c r="C1028" s="5">
        <v>512</v>
      </c>
    </row>
    <row r="1029" spans="1:3" x14ac:dyDescent="0.25">
      <c r="A1029" s="6"/>
      <c r="C1029" s="3"/>
    </row>
    <row r="1030" spans="1:3" ht="15.75" thickBot="1" x14ac:dyDescent="0.3">
      <c r="A1030" s="5">
        <v>611</v>
      </c>
      <c r="C1030" s="5">
        <v>513</v>
      </c>
    </row>
    <row r="1031" spans="1:3" x14ac:dyDescent="0.25">
      <c r="A1031" s="6"/>
      <c r="C1031" s="3"/>
    </row>
    <row r="1032" spans="1:3" ht="15.75" thickBot="1" x14ac:dyDescent="0.3">
      <c r="A1032" s="5">
        <v>612</v>
      </c>
      <c r="C1032" s="5">
        <v>514</v>
      </c>
    </row>
    <row r="1033" spans="1:3" x14ac:dyDescent="0.25">
      <c r="A1033" s="6"/>
      <c r="C1033" s="3"/>
    </row>
    <row r="1034" spans="1:3" ht="15.75" thickBot="1" x14ac:dyDescent="0.3">
      <c r="A1034" s="5">
        <v>613</v>
      </c>
      <c r="C1034" s="5">
        <v>515</v>
      </c>
    </row>
    <row r="1035" spans="1:3" x14ac:dyDescent="0.25">
      <c r="A1035" s="6"/>
      <c r="C1035" s="3"/>
    </row>
    <row r="1036" spans="1:3" ht="15.75" thickBot="1" x14ac:dyDescent="0.3">
      <c r="A1036" s="5">
        <v>614</v>
      </c>
      <c r="C1036" s="5">
        <v>515</v>
      </c>
    </row>
    <row r="1037" spans="1:3" x14ac:dyDescent="0.25">
      <c r="A1037" s="6"/>
      <c r="C1037" s="3"/>
    </row>
    <row r="1038" spans="1:3" ht="15.75" thickBot="1" x14ac:dyDescent="0.3">
      <c r="A1038" s="5">
        <v>615</v>
      </c>
      <c r="C1038" s="5">
        <v>516</v>
      </c>
    </row>
    <row r="1039" spans="1:3" x14ac:dyDescent="0.25">
      <c r="A1039" s="6"/>
      <c r="C1039" s="3"/>
    </row>
    <row r="1040" spans="1:3" ht="15.75" thickBot="1" x14ac:dyDescent="0.3">
      <c r="A1040" s="5">
        <v>616</v>
      </c>
      <c r="C1040" s="5">
        <v>517</v>
      </c>
    </row>
    <row r="1041" spans="1:3" x14ac:dyDescent="0.25">
      <c r="A1041" s="6"/>
      <c r="C1041" s="3"/>
    </row>
    <row r="1042" spans="1:3" ht="15.75" thickBot="1" x14ac:dyDescent="0.3">
      <c r="A1042" s="5">
        <v>617</v>
      </c>
      <c r="C1042" s="5">
        <v>518</v>
      </c>
    </row>
    <row r="1043" spans="1:3" x14ac:dyDescent="0.25">
      <c r="A1043" s="6"/>
      <c r="C1043" s="3"/>
    </row>
    <row r="1044" spans="1:3" ht="15.75" thickBot="1" x14ac:dyDescent="0.3">
      <c r="A1044" s="5">
        <v>618</v>
      </c>
      <c r="C1044" s="5">
        <v>518</v>
      </c>
    </row>
    <row r="1045" spans="1:3" x14ac:dyDescent="0.25">
      <c r="A1045" s="6"/>
      <c r="C1045" s="3"/>
    </row>
    <row r="1046" spans="1:3" ht="15.75" thickBot="1" x14ac:dyDescent="0.3">
      <c r="A1046" s="5">
        <v>619</v>
      </c>
      <c r="C1046" s="5">
        <v>519</v>
      </c>
    </row>
    <row r="1047" spans="1:3" x14ac:dyDescent="0.25">
      <c r="A1047" s="6"/>
      <c r="C1047" s="3"/>
    </row>
    <row r="1048" spans="1:3" ht="15.75" thickBot="1" x14ac:dyDescent="0.3">
      <c r="A1048" s="5">
        <v>620</v>
      </c>
      <c r="C1048" s="5">
        <v>520</v>
      </c>
    </row>
    <row r="1049" spans="1:3" x14ac:dyDescent="0.25">
      <c r="A1049" s="6"/>
      <c r="C1049" s="3"/>
    </row>
    <row r="1050" spans="1:3" ht="15.75" thickBot="1" x14ac:dyDescent="0.3">
      <c r="A1050" s="5">
        <v>621</v>
      </c>
      <c r="C1050" s="5">
        <v>521</v>
      </c>
    </row>
    <row r="1051" spans="1:3" x14ac:dyDescent="0.25">
      <c r="A1051" s="6"/>
      <c r="C1051" s="3"/>
    </row>
    <row r="1052" spans="1:3" ht="15.75" thickBot="1" x14ac:dyDescent="0.3">
      <c r="A1052" s="5">
        <v>622</v>
      </c>
      <c r="C1052" s="5">
        <v>522</v>
      </c>
    </row>
    <row r="1053" spans="1:3" x14ac:dyDescent="0.25">
      <c r="A1053" s="6"/>
      <c r="C1053" s="3"/>
    </row>
    <row r="1054" spans="1:3" ht="15.75" thickBot="1" x14ac:dyDescent="0.3">
      <c r="A1054" s="5">
        <v>623</v>
      </c>
      <c r="C1054" s="5">
        <v>523</v>
      </c>
    </row>
    <row r="1055" spans="1:3" x14ac:dyDescent="0.25">
      <c r="A1055" s="6"/>
      <c r="C1055" s="3"/>
    </row>
    <row r="1056" spans="1:3" ht="15.75" thickBot="1" x14ac:dyDescent="0.3">
      <c r="A1056" s="5">
        <v>624</v>
      </c>
      <c r="C1056" s="5">
        <v>524</v>
      </c>
    </row>
    <row r="1057" spans="1:3" x14ac:dyDescent="0.25">
      <c r="A1057" s="6"/>
      <c r="C1057" s="3"/>
    </row>
    <row r="1058" spans="1:3" ht="15.75" thickBot="1" x14ac:dyDescent="0.3">
      <c r="A1058" s="5">
        <v>625</v>
      </c>
      <c r="C1058" s="5">
        <v>524</v>
      </c>
    </row>
    <row r="1059" spans="1:3" x14ac:dyDescent="0.25">
      <c r="A1059" s="6"/>
      <c r="C1059" s="3"/>
    </row>
    <row r="1060" spans="1:3" ht="15.75" thickBot="1" x14ac:dyDescent="0.3">
      <c r="A1060" s="5">
        <v>626</v>
      </c>
      <c r="C1060" s="5">
        <v>525</v>
      </c>
    </row>
    <row r="1061" spans="1:3" x14ac:dyDescent="0.25">
      <c r="A1061" s="6"/>
      <c r="C1061" s="3"/>
    </row>
    <row r="1062" spans="1:3" ht="15.75" thickBot="1" x14ac:dyDescent="0.3">
      <c r="A1062" s="5">
        <v>627</v>
      </c>
      <c r="C1062" s="5">
        <v>526</v>
      </c>
    </row>
    <row r="1063" spans="1:3" x14ac:dyDescent="0.25">
      <c r="A1063" s="6"/>
      <c r="C1063" s="3"/>
    </row>
    <row r="1064" spans="1:3" ht="15.75" thickBot="1" x14ac:dyDescent="0.3">
      <c r="A1064" s="5">
        <v>628</v>
      </c>
      <c r="C1064" s="5">
        <v>527</v>
      </c>
    </row>
    <row r="1065" spans="1:3" x14ac:dyDescent="0.25">
      <c r="A1065" s="6"/>
      <c r="C1065" s="3"/>
    </row>
    <row r="1066" spans="1:3" ht="15.75" thickBot="1" x14ac:dyDescent="0.3">
      <c r="A1066" s="5">
        <v>629</v>
      </c>
      <c r="C1066" s="5">
        <v>527</v>
      </c>
    </row>
    <row r="1067" spans="1:3" x14ac:dyDescent="0.25">
      <c r="A1067" s="6"/>
      <c r="C1067" s="3"/>
    </row>
    <row r="1068" spans="1:3" ht="15.75" thickBot="1" x14ac:dyDescent="0.3">
      <c r="A1068" s="5">
        <v>630</v>
      </c>
      <c r="C1068" s="5">
        <v>528</v>
      </c>
    </row>
    <row r="1069" spans="1:3" x14ac:dyDescent="0.25">
      <c r="A1069" s="6"/>
      <c r="C1069" s="3"/>
    </row>
    <row r="1070" spans="1:3" ht="15.75" thickBot="1" x14ac:dyDescent="0.3">
      <c r="A1070" s="5">
        <v>631</v>
      </c>
      <c r="C1070" s="5">
        <v>529</v>
      </c>
    </row>
    <row r="1071" spans="1:3" x14ac:dyDescent="0.25">
      <c r="A1071" s="6"/>
      <c r="C1071" s="3"/>
    </row>
    <row r="1072" spans="1:3" ht="15.75" thickBot="1" x14ac:dyDescent="0.3">
      <c r="A1072" s="5">
        <v>632</v>
      </c>
      <c r="C1072" s="5">
        <v>530</v>
      </c>
    </row>
    <row r="1073" spans="1:3" x14ac:dyDescent="0.25">
      <c r="A1073" s="6"/>
      <c r="C1073" s="3"/>
    </row>
    <row r="1074" spans="1:3" ht="15.75" thickBot="1" x14ac:dyDescent="0.3">
      <c r="A1074" s="5">
        <v>633</v>
      </c>
      <c r="C1074" s="5">
        <v>530</v>
      </c>
    </row>
    <row r="1075" spans="1:3" x14ac:dyDescent="0.25">
      <c r="A1075" s="6"/>
      <c r="C1075" s="3"/>
    </row>
    <row r="1076" spans="1:3" ht="15.75" thickBot="1" x14ac:dyDescent="0.3">
      <c r="A1076" s="5">
        <v>634</v>
      </c>
      <c r="C1076" s="5">
        <v>531</v>
      </c>
    </row>
    <row r="1077" spans="1:3" x14ac:dyDescent="0.25">
      <c r="A1077" s="6"/>
      <c r="C1077" s="3"/>
    </row>
    <row r="1078" spans="1:3" ht="15.75" thickBot="1" x14ac:dyDescent="0.3">
      <c r="A1078" s="5">
        <v>635</v>
      </c>
      <c r="C1078" s="5">
        <v>532</v>
      </c>
    </row>
    <row r="1079" spans="1:3" x14ac:dyDescent="0.25">
      <c r="A1079" s="6"/>
      <c r="C1079" s="3"/>
    </row>
    <row r="1080" spans="1:3" ht="15.75" thickBot="1" x14ac:dyDescent="0.3">
      <c r="A1080" s="5">
        <v>636</v>
      </c>
      <c r="C1080" s="5">
        <v>533</v>
      </c>
    </row>
    <row r="1081" spans="1:3" x14ac:dyDescent="0.25">
      <c r="A1081" s="6"/>
      <c r="C1081" s="3"/>
    </row>
    <row r="1082" spans="1:3" ht="15.75" thickBot="1" x14ac:dyDescent="0.3">
      <c r="A1082" s="5">
        <v>637</v>
      </c>
      <c r="C1082" s="5">
        <v>533</v>
      </c>
    </row>
    <row r="1083" spans="1:3" x14ac:dyDescent="0.25">
      <c r="A1083" s="6"/>
      <c r="C1083" s="3"/>
    </row>
    <row r="1084" spans="1:3" ht="15.75" thickBot="1" x14ac:dyDescent="0.3">
      <c r="A1084" s="5">
        <v>638</v>
      </c>
      <c r="C1084" s="5">
        <v>534</v>
      </c>
    </row>
    <row r="1085" spans="1:3" x14ac:dyDescent="0.25">
      <c r="A1085" s="6"/>
      <c r="C1085" s="3"/>
    </row>
    <row r="1086" spans="1:3" ht="15.75" thickBot="1" x14ac:dyDescent="0.3">
      <c r="A1086" s="5">
        <v>639</v>
      </c>
      <c r="C1086" s="5">
        <v>535</v>
      </c>
    </row>
    <row r="1087" spans="1:3" x14ac:dyDescent="0.25">
      <c r="A1087" s="6"/>
      <c r="C1087" s="3"/>
    </row>
    <row r="1088" spans="1:3" ht="15.75" thickBot="1" x14ac:dyDescent="0.3">
      <c r="A1088" s="5">
        <v>640</v>
      </c>
      <c r="C1088" s="5">
        <v>535</v>
      </c>
    </row>
    <row r="1089" spans="1:3" x14ac:dyDescent="0.25">
      <c r="A1089" s="6"/>
      <c r="C1089" s="3"/>
    </row>
    <row r="1090" spans="1:3" ht="15.75" thickBot="1" x14ac:dyDescent="0.3">
      <c r="A1090" s="5">
        <v>641</v>
      </c>
      <c r="C1090" s="5">
        <v>536</v>
      </c>
    </row>
    <row r="1091" spans="1:3" x14ac:dyDescent="0.25">
      <c r="A1091" s="6"/>
      <c r="C1091" s="3"/>
    </row>
    <row r="1092" spans="1:3" ht="15.75" thickBot="1" x14ac:dyDescent="0.3">
      <c r="A1092" s="5">
        <v>642</v>
      </c>
      <c r="C1092" s="5">
        <v>537</v>
      </c>
    </row>
    <row r="1093" spans="1:3" x14ac:dyDescent="0.25">
      <c r="A1093" s="6"/>
      <c r="C1093" s="3"/>
    </row>
    <row r="1094" spans="1:3" ht="15.75" thickBot="1" x14ac:dyDescent="0.3">
      <c r="A1094" s="5">
        <v>643</v>
      </c>
      <c r="C1094" s="5">
        <v>538</v>
      </c>
    </row>
    <row r="1095" spans="1:3" x14ac:dyDescent="0.25">
      <c r="A1095" s="6"/>
      <c r="C1095" s="3"/>
    </row>
    <row r="1096" spans="1:3" ht="15.75" thickBot="1" x14ac:dyDescent="0.3">
      <c r="A1096" s="5">
        <v>644</v>
      </c>
      <c r="C1096" s="5">
        <v>538</v>
      </c>
    </row>
    <row r="1097" spans="1:3" x14ac:dyDescent="0.25">
      <c r="A1097" s="6"/>
      <c r="C1097" s="3"/>
    </row>
    <row r="1098" spans="1:3" ht="15.75" thickBot="1" x14ac:dyDescent="0.3">
      <c r="A1098" s="5">
        <v>645</v>
      </c>
      <c r="C1098" s="5">
        <v>539</v>
      </c>
    </row>
    <row r="1099" spans="1:3" x14ac:dyDescent="0.25">
      <c r="A1099" s="6"/>
      <c r="C1099" s="3"/>
    </row>
    <row r="1100" spans="1:3" ht="15.75" thickBot="1" x14ac:dyDescent="0.3">
      <c r="A1100" s="5">
        <v>646</v>
      </c>
      <c r="C1100" s="5">
        <v>540</v>
      </c>
    </row>
    <row r="1101" spans="1:3" x14ac:dyDescent="0.25">
      <c r="A1101" s="6"/>
      <c r="C1101" s="3"/>
    </row>
    <row r="1102" spans="1:3" ht="15.75" thickBot="1" x14ac:dyDescent="0.3">
      <c r="A1102" s="5">
        <v>647</v>
      </c>
      <c r="C1102" s="5">
        <v>541</v>
      </c>
    </row>
    <row r="1103" spans="1:3" x14ac:dyDescent="0.25">
      <c r="A1103" s="6"/>
      <c r="C1103" s="3"/>
    </row>
    <row r="1104" spans="1:3" ht="15.75" thickBot="1" x14ac:dyDescent="0.3">
      <c r="A1104" s="5">
        <v>648</v>
      </c>
      <c r="C1104" s="5">
        <v>541</v>
      </c>
    </row>
    <row r="1105" spans="1:3" x14ac:dyDescent="0.25">
      <c r="A1105" s="6"/>
      <c r="C1105" s="3"/>
    </row>
    <row r="1106" spans="1:3" ht="15.75" thickBot="1" x14ac:dyDescent="0.3">
      <c r="A1106" s="5">
        <v>649</v>
      </c>
      <c r="C1106" s="5">
        <v>542</v>
      </c>
    </row>
    <row r="1107" spans="1:3" x14ac:dyDescent="0.25">
      <c r="A1107" s="6"/>
      <c r="C1107" s="3"/>
    </row>
    <row r="1108" spans="1:3" ht="15.75" thickBot="1" x14ac:dyDescent="0.3">
      <c r="A1108" s="5">
        <v>650</v>
      </c>
      <c r="C1108" s="5">
        <v>543</v>
      </c>
    </row>
    <row r="1109" spans="1:3" x14ac:dyDescent="0.25">
      <c r="A1109" s="6"/>
      <c r="C1109" s="3"/>
    </row>
    <row r="1110" spans="1:3" ht="15.75" thickBot="1" x14ac:dyDescent="0.3">
      <c r="A1110" s="5">
        <v>651</v>
      </c>
      <c r="C1110" s="5">
        <v>544</v>
      </c>
    </row>
    <row r="1111" spans="1:3" x14ac:dyDescent="0.25">
      <c r="A1111" s="6"/>
      <c r="C1111" s="3"/>
    </row>
    <row r="1112" spans="1:3" ht="15.75" thickBot="1" x14ac:dyDescent="0.3">
      <c r="A1112" s="5">
        <v>652</v>
      </c>
      <c r="C1112" s="5">
        <v>544</v>
      </c>
    </row>
    <row r="1113" spans="1:3" x14ac:dyDescent="0.25">
      <c r="A1113" s="6"/>
      <c r="C1113" s="3"/>
    </row>
    <row r="1114" spans="1:3" ht="15.75" thickBot="1" x14ac:dyDescent="0.3">
      <c r="A1114" s="5">
        <v>653</v>
      </c>
      <c r="C1114" s="5">
        <v>545</v>
      </c>
    </row>
    <row r="1115" spans="1:3" x14ac:dyDescent="0.25">
      <c r="A1115" s="6"/>
      <c r="C1115" s="3"/>
    </row>
    <row r="1116" spans="1:3" ht="15.75" thickBot="1" x14ac:dyDescent="0.3">
      <c r="A1116" s="5">
        <v>654</v>
      </c>
      <c r="C1116" s="5">
        <v>546</v>
      </c>
    </row>
    <row r="1117" spans="1:3" x14ac:dyDescent="0.25">
      <c r="A1117" s="6"/>
      <c r="C1117" s="3"/>
    </row>
    <row r="1118" spans="1:3" ht="15.75" thickBot="1" x14ac:dyDescent="0.3">
      <c r="A1118" s="5">
        <v>655</v>
      </c>
      <c r="C1118" s="5">
        <v>546</v>
      </c>
    </row>
    <row r="1119" spans="1:3" x14ac:dyDescent="0.25">
      <c r="A1119" s="6"/>
      <c r="C1119" s="3"/>
    </row>
    <row r="1120" spans="1:3" ht="15.75" thickBot="1" x14ac:dyDescent="0.3">
      <c r="A1120" s="5">
        <v>656</v>
      </c>
      <c r="C1120" s="5">
        <v>547</v>
      </c>
    </row>
    <row r="1121" spans="1:3" x14ac:dyDescent="0.25">
      <c r="A1121" s="6"/>
      <c r="C1121" s="3"/>
    </row>
    <row r="1122" spans="1:3" ht="15.75" thickBot="1" x14ac:dyDescent="0.3">
      <c r="A1122" s="5">
        <v>657</v>
      </c>
      <c r="C1122" s="5">
        <v>548</v>
      </c>
    </row>
    <row r="1123" spans="1:3" x14ac:dyDescent="0.25">
      <c r="A1123" s="6"/>
      <c r="C1123" s="3"/>
    </row>
    <row r="1124" spans="1:3" ht="15.75" thickBot="1" x14ac:dyDescent="0.3">
      <c r="A1124" s="5">
        <v>658</v>
      </c>
      <c r="C1124" s="5">
        <v>549</v>
      </c>
    </row>
    <row r="1125" spans="1:3" x14ac:dyDescent="0.25">
      <c r="A1125" s="6"/>
      <c r="C1125" s="3"/>
    </row>
    <row r="1126" spans="1:3" ht="15.75" thickBot="1" x14ac:dyDescent="0.3">
      <c r="A1126" s="5">
        <v>659</v>
      </c>
      <c r="C1126" s="5">
        <v>550</v>
      </c>
    </row>
    <row r="1127" spans="1:3" x14ac:dyDescent="0.25">
      <c r="A1127" s="6"/>
      <c r="C1127" s="3"/>
    </row>
    <row r="1128" spans="1:3" ht="15.75" thickBot="1" x14ac:dyDescent="0.3">
      <c r="A1128" s="5">
        <v>660</v>
      </c>
      <c r="C1128" s="5">
        <v>551</v>
      </c>
    </row>
    <row r="1129" spans="1:3" x14ac:dyDescent="0.25">
      <c r="A1129" s="6"/>
      <c r="C1129" s="3"/>
    </row>
    <row r="1130" spans="1:3" ht="15.75" thickBot="1" x14ac:dyDescent="0.3">
      <c r="A1130" s="5">
        <v>661</v>
      </c>
      <c r="C1130" s="5">
        <v>552</v>
      </c>
    </row>
    <row r="1131" spans="1:3" x14ac:dyDescent="0.25">
      <c r="A1131" s="6"/>
      <c r="C1131" s="3"/>
    </row>
    <row r="1132" spans="1:3" ht="15.75" thickBot="1" x14ac:dyDescent="0.3">
      <c r="A1132" s="5">
        <v>662</v>
      </c>
      <c r="C1132" s="5">
        <v>553</v>
      </c>
    </row>
    <row r="1133" spans="1:3" x14ac:dyDescent="0.25">
      <c r="A1133" s="6"/>
      <c r="C1133" s="3"/>
    </row>
    <row r="1134" spans="1:3" ht="15.75" thickBot="1" x14ac:dyDescent="0.3">
      <c r="A1134" s="5">
        <v>663</v>
      </c>
      <c r="C1134" s="5">
        <v>553</v>
      </c>
    </row>
    <row r="1135" spans="1:3" x14ac:dyDescent="0.25">
      <c r="A1135" s="6"/>
      <c r="C1135" s="3"/>
    </row>
    <row r="1136" spans="1:3" ht="15.75" thickBot="1" x14ac:dyDescent="0.3">
      <c r="A1136" s="5">
        <v>664</v>
      </c>
      <c r="C1136" s="5">
        <v>554</v>
      </c>
    </row>
    <row r="1137" spans="1:3" x14ac:dyDescent="0.25">
      <c r="A1137" s="6"/>
      <c r="C1137" s="3"/>
    </row>
    <row r="1138" spans="1:3" ht="15.75" thickBot="1" x14ac:dyDescent="0.3">
      <c r="A1138" s="5">
        <v>665</v>
      </c>
      <c r="C1138" s="5">
        <v>555</v>
      </c>
    </row>
    <row r="1139" spans="1:3" x14ac:dyDescent="0.25">
      <c r="A1139" s="6"/>
      <c r="C1139" s="3"/>
    </row>
    <row r="1140" spans="1:3" ht="15.75" thickBot="1" x14ac:dyDescent="0.3">
      <c r="A1140" s="5">
        <v>666</v>
      </c>
      <c r="C1140" s="5">
        <v>556</v>
      </c>
    </row>
    <row r="1141" spans="1:3" x14ac:dyDescent="0.25">
      <c r="A1141" s="6"/>
      <c r="C1141" s="3"/>
    </row>
    <row r="1142" spans="1:3" ht="15.75" thickBot="1" x14ac:dyDescent="0.3">
      <c r="A1142" s="5">
        <v>667</v>
      </c>
      <c r="C1142" s="5">
        <v>556</v>
      </c>
    </row>
    <row r="1143" spans="1:3" x14ac:dyDescent="0.25">
      <c r="A1143" s="6"/>
      <c r="C1143" s="3"/>
    </row>
    <row r="1144" spans="1:3" ht="15.75" thickBot="1" x14ac:dyDescent="0.3">
      <c r="A1144" s="5">
        <v>668</v>
      </c>
      <c r="C1144" s="5">
        <v>557</v>
      </c>
    </row>
    <row r="1145" spans="1:3" x14ac:dyDescent="0.25">
      <c r="A1145" s="6"/>
      <c r="C1145" s="3"/>
    </row>
    <row r="1146" spans="1:3" ht="15.75" thickBot="1" x14ac:dyDescent="0.3">
      <c r="A1146" s="5">
        <v>669</v>
      </c>
      <c r="C1146" s="5">
        <v>558</v>
      </c>
    </row>
    <row r="1147" spans="1:3" x14ac:dyDescent="0.25">
      <c r="A1147" s="6"/>
      <c r="C1147" s="3"/>
    </row>
    <row r="1148" spans="1:3" ht="15.75" thickBot="1" x14ac:dyDescent="0.3">
      <c r="A1148" s="5">
        <v>670</v>
      </c>
      <c r="C1148" s="5">
        <v>559</v>
      </c>
    </row>
    <row r="1149" spans="1:3" x14ac:dyDescent="0.25">
      <c r="A1149" s="6"/>
      <c r="C1149" s="3"/>
    </row>
    <row r="1150" spans="1:3" ht="15.75" thickBot="1" x14ac:dyDescent="0.3">
      <c r="A1150" s="5">
        <v>671</v>
      </c>
      <c r="C1150" s="5">
        <v>559</v>
      </c>
    </row>
    <row r="1151" spans="1:3" x14ac:dyDescent="0.25">
      <c r="A1151" s="6"/>
      <c r="C1151" s="3"/>
    </row>
    <row r="1152" spans="1:3" ht="15.75" thickBot="1" x14ac:dyDescent="0.3">
      <c r="A1152" s="5">
        <v>672</v>
      </c>
      <c r="C1152" s="5">
        <v>560</v>
      </c>
    </row>
    <row r="1153" spans="1:3" x14ac:dyDescent="0.25">
      <c r="A1153" s="6"/>
      <c r="C1153" s="3"/>
    </row>
    <row r="1154" spans="1:3" ht="15.75" thickBot="1" x14ac:dyDescent="0.3">
      <c r="A1154" s="5">
        <v>673</v>
      </c>
      <c r="C1154" s="5">
        <v>561</v>
      </c>
    </row>
    <row r="1155" spans="1:3" x14ac:dyDescent="0.25">
      <c r="A1155" s="6"/>
      <c r="C1155" s="3"/>
    </row>
    <row r="1156" spans="1:3" ht="15.75" thickBot="1" x14ac:dyDescent="0.3">
      <c r="A1156" s="5">
        <v>674</v>
      </c>
      <c r="C1156" s="5">
        <v>561</v>
      </c>
    </row>
    <row r="1157" spans="1:3" x14ac:dyDescent="0.25">
      <c r="A1157" s="6"/>
      <c r="C1157" s="3"/>
    </row>
    <row r="1158" spans="1:3" ht="15.75" thickBot="1" x14ac:dyDescent="0.3">
      <c r="A1158" s="5">
        <v>675</v>
      </c>
      <c r="C1158" s="5">
        <v>562</v>
      </c>
    </row>
    <row r="1159" spans="1:3" x14ac:dyDescent="0.25">
      <c r="A1159" s="6"/>
      <c r="C1159" s="3"/>
    </row>
    <row r="1160" spans="1:3" ht="15.75" thickBot="1" x14ac:dyDescent="0.3">
      <c r="A1160" s="5">
        <v>676</v>
      </c>
      <c r="C1160" s="5">
        <v>563</v>
      </c>
    </row>
    <row r="1161" spans="1:3" x14ac:dyDescent="0.25">
      <c r="A1161" s="6"/>
      <c r="C1161" s="3"/>
    </row>
    <row r="1162" spans="1:3" ht="15.75" thickBot="1" x14ac:dyDescent="0.3">
      <c r="A1162" s="5">
        <v>677</v>
      </c>
      <c r="C1162" s="5">
        <v>564</v>
      </c>
    </row>
    <row r="1163" spans="1:3" x14ac:dyDescent="0.25">
      <c r="A1163" s="6"/>
      <c r="C1163" s="3"/>
    </row>
    <row r="1164" spans="1:3" ht="15.75" thickBot="1" x14ac:dyDescent="0.3">
      <c r="A1164" s="5">
        <v>678</v>
      </c>
      <c r="C1164" s="5">
        <v>564</v>
      </c>
    </row>
    <row r="1165" spans="1:3" x14ac:dyDescent="0.25">
      <c r="A1165" s="6"/>
      <c r="C1165" s="3"/>
    </row>
    <row r="1166" spans="1:3" ht="15.75" thickBot="1" x14ac:dyDescent="0.3">
      <c r="A1166" s="5">
        <v>679</v>
      </c>
      <c r="C1166" s="5">
        <v>565</v>
      </c>
    </row>
    <row r="1167" spans="1:3" x14ac:dyDescent="0.25">
      <c r="A1167" s="6"/>
      <c r="C1167" s="3"/>
    </row>
    <row r="1168" spans="1:3" ht="15.75" thickBot="1" x14ac:dyDescent="0.3">
      <c r="A1168" s="5">
        <v>680</v>
      </c>
      <c r="C1168" s="5">
        <v>566</v>
      </c>
    </row>
    <row r="1169" spans="1:3" x14ac:dyDescent="0.25">
      <c r="A1169" s="6"/>
      <c r="C1169" s="3"/>
    </row>
    <row r="1170" spans="1:3" ht="15.75" thickBot="1" x14ac:dyDescent="0.3">
      <c r="A1170" s="5">
        <v>681</v>
      </c>
      <c r="C1170" s="5">
        <v>567</v>
      </c>
    </row>
    <row r="1171" spans="1:3" x14ac:dyDescent="0.25">
      <c r="A1171" s="6"/>
      <c r="C1171" s="3"/>
    </row>
    <row r="1172" spans="1:3" ht="15.75" thickBot="1" x14ac:dyDescent="0.3">
      <c r="A1172" s="5">
        <v>682</v>
      </c>
      <c r="C1172" s="5">
        <v>567</v>
      </c>
    </row>
    <row r="1173" spans="1:3" x14ac:dyDescent="0.25">
      <c r="A1173" s="6"/>
      <c r="C1173" s="3"/>
    </row>
    <row r="1174" spans="1:3" ht="15.75" thickBot="1" x14ac:dyDescent="0.3">
      <c r="A1174" s="5">
        <v>683</v>
      </c>
      <c r="C1174" s="5">
        <v>568</v>
      </c>
    </row>
    <row r="1175" spans="1:3" x14ac:dyDescent="0.25">
      <c r="A1175" s="6"/>
      <c r="C1175" s="3"/>
    </row>
    <row r="1176" spans="1:3" ht="15.75" thickBot="1" x14ac:dyDescent="0.3">
      <c r="A1176" s="5">
        <v>684</v>
      </c>
      <c r="C1176" s="5">
        <v>569</v>
      </c>
    </row>
    <row r="1177" spans="1:3" x14ac:dyDescent="0.25">
      <c r="A1177" s="6"/>
      <c r="C1177" s="3"/>
    </row>
    <row r="1178" spans="1:3" ht="15.75" thickBot="1" x14ac:dyDescent="0.3">
      <c r="A1178" s="5">
        <v>685</v>
      </c>
      <c r="C1178" s="5">
        <v>570</v>
      </c>
    </row>
    <row r="1179" spans="1:3" x14ac:dyDescent="0.25">
      <c r="A1179" s="6"/>
      <c r="C1179" s="3"/>
    </row>
    <row r="1180" spans="1:3" ht="15.75" thickBot="1" x14ac:dyDescent="0.3">
      <c r="A1180" s="5">
        <v>686</v>
      </c>
      <c r="C1180" s="5">
        <v>570</v>
      </c>
    </row>
    <row r="1181" spans="1:3" x14ac:dyDescent="0.25">
      <c r="A1181" s="6"/>
      <c r="C1181" s="3"/>
    </row>
    <row r="1182" spans="1:3" ht="15.75" thickBot="1" x14ac:dyDescent="0.3">
      <c r="A1182" s="5">
        <v>687</v>
      </c>
      <c r="C1182" s="5">
        <v>571</v>
      </c>
    </row>
    <row r="1183" spans="1:3" x14ac:dyDescent="0.25">
      <c r="A1183" s="6"/>
      <c r="C1183" s="3"/>
    </row>
    <row r="1184" spans="1:3" ht="15.75" thickBot="1" x14ac:dyDescent="0.3">
      <c r="A1184" s="5">
        <v>688</v>
      </c>
      <c r="C1184" s="5">
        <v>572</v>
      </c>
    </row>
    <row r="1185" spans="1:3" x14ac:dyDescent="0.25">
      <c r="A1185" s="6"/>
      <c r="C1185" s="3"/>
    </row>
    <row r="1186" spans="1:3" ht="15.75" thickBot="1" x14ac:dyDescent="0.3">
      <c r="A1186" s="5">
        <v>689</v>
      </c>
      <c r="C1186" s="5">
        <v>572</v>
      </c>
    </row>
    <row r="1187" spans="1:3" x14ac:dyDescent="0.25">
      <c r="A1187" s="6"/>
      <c r="C1187" s="3"/>
    </row>
    <row r="1188" spans="1:3" ht="15.75" thickBot="1" x14ac:dyDescent="0.3">
      <c r="A1188" s="5">
        <v>690</v>
      </c>
      <c r="C1188" s="5">
        <v>573</v>
      </c>
    </row>
    <row r="1189" spans="1:3" x14ac:dyDescent="0.25">
      <c r="A1189" s="6"/>
      <c r="C1189" s="3"/>
    </row>
    <row r="1190" spans="1:3" ht="15.75" thickBot="1" x14ac:dyDescent="0.3">
      <c r="A1190" s="5">
        <v>691</v>
      </c>
      <c r="C1190" s="5">
        <v>574</v>
      </c>
    </row>
    <row r="1191" spans="1:3" x14ac:dyDescent="0.25">
      <c r="A1191" s="6"/>
      <c r="C1191" s="3"/>
    </row>
    <row r="1192" spans="1:3" ht="15.75" thickBot="1" x14ac:dyDescent="0.3">
      <c r="A1192" s="5">
        <v>692</v>
      </c>
      <c r="C1192" s="5">
        <v>575</v>
      </c>
    </row>
    <row r="1193" spans="1:3" x14ac:dyDescent="0.25">
      <c r="A1193" s="6"/>
      <c r="C1193" s="3"/>
    </row>
    <row r="1194" spans="1:3" ht="15.75" thickBot="1" x14ac:dyDescent="0.3">
      <c r="A1194" s="5">
        <v>693</v>
      </c>
      <c r="C1194" s="5">
        <v>575</v>
      </c>
    </row>
    <row r="1195" spans="1:3" x14ac:dyDescent="0.25">
      <c r="A1195" s="6"/>
      <c r="C1195" s="3"/>
    </row>
    <row r="1196" spans="1:3" ht="15.75" thickBot="1" x14ac:dyDescent="0.3">
      <c r="A1196" s="5">
        <v>694</v>
      </c>
      <c r="C1196" s="5">
        <v>576</v>
      </c>
    </row>
    <row r="1197" spans="1:3" x14ac:dyDescent="0.25">
      <c r="A1197" s="6"/>
      <c r="C1197" s="3"/>
    </row>
    <row r="1198" spans="1:3" ht="15.75" thickBot="1" x14ac:dyDescent="0.3">
      <c r="A1198" s="5">
        <v>695</v>
      </c>
      <c r="C1198" s="5">
        <v>577</v>
      </c>
    </row>
    <row r="1199" spans="1:3" x14ac:dyDescent="0.25">
      <c r="A1199" s="6"/>
      <c r="C1199" s="3"/>
    </row>
    <row r="1200" spans="1:3" ht="15.75" thickBot="1" x14ac:dyDescent="0.3">
      <c r="A1200" s="5">
        <v>696</v>
      </c>
      <c r="C1200" s="5">
        <v>578</v>
      </c>
    </row>
    <row r="1201" spans="1:3" x14ac:dyDescent="0.25">
      <c r="A1201" s="6"/>
      <c r="C1201" s="3"/>
    </row>
    <row r="1202" spans="1:3" ht="15.75" thickBot="1" x14ac:dyDescent="0.3">
      <c r="A1202" s="5">
        <v>697</v>
      </c>
      <c r="C1202" s="5">
        <v>578</v>
      </c>
    </row>
    <row r="1203" spans="1:3" x14ac:dyDescent="0.25">
      <c r="A1203" s="6"/>
      <c r="C1203" s="3"/>
    </row>
    <row r="1204" spans="1:3" ht="15.75" thickBot="1" x14ac:dyDescent="0.3">
      <c r="A1204" s="5">
        <v>698</v>
      </c>
      <c r="C1204" s="5">
        <v>579</v>
      </c>
    </row>
    <row r="1205" spans="1:3" x14ac:dyDescent="0.25">
      <c r="A1205" s="6"/>
      <c r="C1205" s="3"/>
    </row>
    <row r="1206" spans="1:3" ht="15.75" thickBot="1" x14ac:dyDescent="0.3">
      <c r="A1206" s="5">
        <v>699</v>
      </c>
      <c r="C1206" s="5">
        <v>580</v>
      </c>
    </row>
    <row r="1207" spans="1:3" x14ac:dyDescent="0.25">
      <c r="A1207" s="6"/>
      <c r="C1207" s="3"/>
    </row>
    <row r="1208" spans="1:3" ht="15.75" thickBot="1" x14ac:dyDescent="0.3">
      <c r="A1208" s="5">
        <v>700</v>
      </c>
      <c r="C1208" s="5">
        <v>581</v>
      </c>
    </row>
    <row r="1209" spans="1:3" x14ac:dyDescent="0.25">
      <c r="A1209" s="6"/>
      <c r="C1209" s="3"/>
    </row>
    <row r="1210" spans="1:3" ht="15.75" thickBot="1" x14ac:dyDescent="0.3">
      <c r="A1210" s="5">
        <v>701</v>
      </c>
      <c r="C1210" s="5">
        <v>582</v>
      </c>
    </row>
    <row r="1211" spans="1:3" x14ac:dyDescent="0.25">
      <c r="A1211" s="6"/>
      <c r="C1211" s="3"/>
    </row>
    <row r="1212" spans="1:3" ht="15.75" thickBot="1" x14ac:dyDescent="0.3">
      <c r="A1212" s="5">
        <v>702</v>
      </c>
      <c r="C1212" s="5">
        <v>583</v>
      </c>
    </row>
    <row r="1213" spans="1:3" x14ac:dyDescent="0.25">
      <c r="A1213" s="6"/>
      <c r="C1213" s="3"/>
    </row>
    <row r="1214" spans="1:3" ht="15.75" thickBot="1" x14ac:dyDescent="0.3">
      <c r="A1214" s="5">
        <v>703</v>
      </c>
      <c r="C1214" s="5">
        <v>584</v>
      </c>
    </row>
    <row r="1215" spans="1:3" x14ac:dyDescent="0.25">
      <c r="A1215" s="6"/>
      <c r="C1215" s="3"/>
    </row>
    <row r="1216" spans="1:3" ht="15.75" thickBot="1" x14ac:dyDescent="0.3">
      <c r="A1216" s="5">
        <v>704</v>
      </c>
      <c r="C1216" s="5">
        <v>584</v>
      </c>
    </row>
    <row r="1217" spans="1:3" x14ac:dyDescent="0.25">
      <c r="A1217" s="6"/>
      <c r="C1217" s="3"/>
    </row>
    <row r="1218" spans="1:3" ht="15.75" thickBot="1" x14ac:dyDescent="0.3">
      <c r="A1218" s="5">
        <v>705</v>
      </c>
      <c r="C1218" s="5">
        <v>585</v>
      </c>
    </row>
    <row r="1219" spans="1:3" x14ac:dyDescent="0.25">
      <c r="A1219" s="6"/>
      <c r="C1219" s="3"/>
    </row>
    <row r="1220" spans="1:3" ht="15.75" thickBot="1" x14ac:dyDescent="0.3">
      <c r="A1220" s="5">
        <v>706</v>
      </c>
      <c r="C1220" s="5">
        <v>586</v>
      </c>
    </row>
    <row r="1221" spans="1:3" x14ac:dyDescent="0.25">
      <c r="A1221" s="6"/>
      <c r="C1221" s="3"/>
    </row>
    <row r="1222" spans="1:3" ht="15.75" thickBot="1" x14ac:dyDescent="0.3">
      <c r="A1222" s="5">
        <v>707</v>
      </c>
      <c r="C1222" s="5">
        <v>587</v>
      </c>
    </row>
    <row r="1223" spans="1:3" x14ac:dyDescent="0.25">
      <c r="A1223" s="6"/>
      <c r="C1223" s="3"/>
    </row>
    <row r="1224" spans="1:3" ht="15.75" thickBot="1" x14ac:dyDescent="0.3">
      <c r="A1224" s="5">
        <v>708</v>
      </c>
      <c r="C1224" s="5">
        <v>587</v>
      </c>
    </row>
    <row r="1225" spans="1:3" x14ac:dyDescent="0.25">
      <c r="A1225" s="6"/>
      <c r="C1225" s="3"/>
    </row>
    <row r="1226" spans="1:3" ht="15.75" thickBot="1" x14ac:dyDescent="0.3">
      <c r="A1226" s="5">
        <v>709</v>
      </c>
      <c r="C1226" s="5">
        <v>588</v>
      </c>
    </row>
    <row r="1227" spans="1:3" x14ac:dyDescent="0.25">
      <c r="A1227" s="6"/>
      <c r="C1227" s="3"/>
    </row>
    <row r="1228" spans="1:3" ht="15.75" thickBot="1" x14ac:dyDescent="0.3">
      <c r="A1228" s="5">
        <v>710</v>
      </c>
      <c r="C1228" s="5">
        <v>589</v>
      </c>
    </row>
    <row r="1229" spans="1:3" x14ac:dyDescent="0.25">
      <c r="A1229" s="6"/>
      <c r="C1229" s="3"/>
    </row>
    <row r="1230" spans="1:3" ht="15.75" thickBot="1" x14ac:dyDescent="0.3">
      <c r="A1230" s="5">
        <v>711</v>
      </c>
      <c r="C1230" s="5">
        <v>590</v>
      </c>
    </row>
    <row r="1231" spans="1:3" x14ac:dyDescent="0.25">
      <c r="A1231" s="6"/>
      <c r="C1231" s="3"/>
    </row>
    <row r="1232" spans="1:3" ht="15.75" thickBot="1" x14ac:dyDescent="0.3">
      <c r="A1232" s="5">
        <v>712</v>
      </c>
      <c r="C1232" s="5">
        <v>590</v>
      </c>
    </row>
    <row r="1233" spans="1:3" x14ac:dyDescent="0.25">
      <c r="A1233" s="6"/>
      <c r="C1233" s="3"/>
    </row>
    <row r="1234" spans="1:3" ht="15.75" thickBot="1" x14ac:dyDescent="0.3">
      <c r="A1234" s="5">
        <v>713</v>
      </c>
      <c r="C1234" s="5">
        <v>591</v>
      </c>
    </row>
    <row r="1235" spans="1:3" x14ac:dyDescent="0.25">
      <c r="A1235" s="6"/>
      <c r="C1235" s="3"/>
    </row>
    <row r="1236" spans="1:3" ht="15.75" thickBot="1" x14ac:dyDescent="0.3">
      <c r="A1236" s="5">
        <v>714</v>
      </c>
      <c r="C1236" s="5">
        <v>592</v>
      </c>
    </row>
    <row r="1237" spans="1:3" x14ac:dyDescent="0.25">
      <c r="A1237" s="6"/>
      <c r="C1237" s="3"/>
    </row>
    <row r="1238" spans="1:3" ht="15.75" thickBot="1" x14ac:dyDescent="0.3">
      <c r="A1238" s="5">
        <v>715</v>
      </c>
      <c r="C1238" s="5">
        <v>593</v>
      </c>
    </row>
    <row r="1239" spans="1:3" x14ac:dyDescent="0.25">
      <c r="A1239" s="6"/>
      <c r="C1239" s="3"/>
    </row>
    <row r="1240" spans="1:3" ht="15.75" thickBot="1" x14ac:dyDescent="0.3">
      <c r="A1240" s="5">
        <v>716</v>
      </c>
      <c r="C1240" s="5">
        <v>593</v>
      </c>
    </row>
    <row r="1241" spans="1:3" x14ac:dyDescent="0.25">
      <c r="A1241" s="6"/>
      <c r="C1241" s="3"/>
    </row>
    <row r="1242" spans="1:3" ht="15.75" thickBot="1" x14ac:dyDescent="0.3">
      <c r="A1242" s="5">
        <v>717</v>
      </c>
      <c r="C1242" s="5">
        <v>594</v>
      </c>
    </row>
    <row r="1243" spans="1:3" x14ac:dyDescent="0.25">
      <c r="A1243" s="6"/>
      <c r="C1243" s="3"/>
    </row>
    <row r="1244" spans="1:3" ht="15.75" thickBot="1" x14ac:dyDescent="0.3">
      <c r="A1244" s="5">
        <v>718</v>
      </c>
      <c r="C1244" s="5">
        <v>595</v>
      </c>
    </row>
    <row r="1245" spans="1:3" x14ac:dyDescent="0.25">
      <c r="A1245" s="6"/>
      <c r="C1245" s="3"/>
    </row>
    <row r="1246" spans="1:3" ht="15.75" thickBot="1" x14ac:dyDescent="0.3">
      <c r="A1246" s="5">
        <v>719</v>
      </c>
      <c r="C1246" s="5">
        <v>596</v>
      </c>
    </row>
    <row r="1247" spans="1:3" x14ac:dyDescent="0.25">
      <c r="A1247" s="6"/>
      <c r="C1247" s="3"/>
    </row>
    <row r="1248" spans="1:3" ht="15.75" thickBot="1" x14ac:dyDescent="0.3">
      <c r="A1248" s="5">
        <v>720</v>
      </c>
      <c r="C1248" s="5">
        <v>596</v>
      </c>
    </row>
    <row r="1249" spans="1:3" x14ac:dyDescent="0.25">
      <c r="A1249" s="6"/>
      <c r="C1249" s="3"/>
    </row>
    <row r="1250" spans="1:3" ht="15.75" thickBot="1" x14ac:dyDescent="0.3">
      <c r="A1250" s="5">
        <v>721</v>
      </c>
      <c r="C1250" s="5">
        <v>597</v>
      </c>
    </row>
    <row r="1251" spans="1:3" x14ac:dyDescent="0.25">
      <c r="A1251" s="6"/>
      <c r="C1251" s="3"/>
    </row>
    <row r="1252" spans="1:3" ht="15.75" thickBot="1" x14ac:dyDescent="0.3">
      <c r="A1252" s="5">
        <v>722</v>
      </c>
      <c r="C1252" s="5">
        <v>598</v>
      </c>
    </row>
    <row r="1253" spans="1:3" x14ac:dyDescent="0.25">
      <c r="A1253" s="6"/>
      <c r="C1253" s="3"/>
    </row>
    <row r="1254" spans="1:3" ht="15.75" thickBot="1" x14ac:dyDescent="0.3">
      <c r="A1254" s="5">
        <v>723</v>
      </c>
      <c r="C1254" s="5">
        <v>598</v>
      </c>
    </row>
    <row r="1255" spans="1:3" x14ac:dyDescent="0.25">
      <c r="A1255" s="6"/>
      <c r="C1255" s="3"/>
    </row>
    <row r="1256" spans="1:3" ht="15.75" thickBot="1" x14ac:dyDescent="0.3">
      <c r="A1256" s="5">
        <v>724</v>
      </c>
      <c r="C1256" s="5">
        <v>599</v>
      </c>
    </row>
    <row r="1257" spans="1:3" x14ac:dyDescent="0.25">
      <c r="A1257" s="6"/>
      <c r="C1257" s="3"/>
    </row>
    <row r="1258" spans="1:3" ht="15.75" thickBot="1" x14ac:dyDescent="0.3">
      <c r="A1258" s="5">
        <v>725</v>
      </c>
      <c r="C1258" s="5">
        <v>600</v>
      </c>
    </row>
    <row r="1259" spans="1:3" x14ac:dyDescent="0.25">
      <c r="A1259" s="6"/>
      <c r="C1259" s="3"/>
    </row>
    <row r="1260" spans="1:3" ht="15.75" thickBot="1" x14ac:dyDescent="0.3">
      <c r="A1260" s="5">
        <v>726</v>
      </c>
      <c r="C1260" s="5">
        <v>601</v>
      </c>
    </row>
    <row r="1261" spans="1:3" x14ac:dyDescent="0.25">
      <c r="A1261" s="6"/>
      <c r="C1261" s="3"/>
    </row>
    <row r="1262" spans="1:3" ht="15.75" thickBot="1" x14ac:dyDescent="0.3">
      <c r="A1262" s="5">
        <v>727</v>
      </c>
      <c r="C1262" s="5">
        <v>601</v>
      </c>
    </row>
    <row r="1263" spans="1:3" x14ac:dyDescent="0.25">
      <c r="A1263" s="6"/>
      <c r="C1263" s="3"/>
    </row>
    <row r="1264" spans="1:3" ht="15.75" thickBot="1" x14ac:dyDescent="0.3">
      <c r="A1264" s="5">
        <v>728</v>
      </c>
      <c r="C1264" s="5">
        <v>602</v>
      </c>
    </row>
    <row r="1265" spans="1:3" x14ac:dyDescent="0.25">
      <c r="A1265" s="6"/>
      <c r="C1265" s="3"/>
    </row>
    <row r="1266" spans="1:3" ht="15.75" thickBot="1" x14ac:dyDescent="0.3">
      <c r="A1266" s="5">
        <v>729</v>
      </c>
      <c r="C1266" s="5">
        <v>603</v>
      </c>
    </row>
    <row r="1267" spans="1:3" x14ac:dyDescent="0.25">
      <c r="A1267" s="6"/>
      <c r="C1267" s="3"/>
    </row>
    <row r="1268" spans="1:3" ht="15.75" thickBot="1" x14ac:dyDescent="0.3">
      <c r="A1268" s="5">
        <v>730</v>
      </c>
      <c r="C1268" s="5">
        <v>604</v>
      </c>
    </row>
    <row r="1269" spans="1:3" x14ac:dyDescent="0.25">
      <c r="A1269" s="6"/>
      <c r="C1269" s="3"/>
    </row>
    <row r="1270" spans="1:3" ht="15.75" thickBot="1" x14ac:dyDescent="0.3">
      <c r="A1270" s="5">
        <v>731</v>
      </c>
      <c r="C1270" s="5">
        <v>604</v>
      </c>
    </row>
    <row r="1271" spans="1:3" x14ac:dyDescent="0.25">
      <c r="A1271" s="6"/>
      <c r="C1271" s="3"/>
    </row>
    <row r="1272" spans="1:3" ht="15.75" thickBot="1" x14ac:dyDescent="0.3">
      <c r="A1272" s="5">
        <v>732</v>
      </c>
      <c r="C1272" s="5">
        <v>605</v>
      </c>
    </row>
    <row r="1273" spans="1:3" x14ac:dyDescent="0.25">
      <c r="A1273" s="6"/>
      <c r="C1273" s="3"/>
    </row>
    <row r="1274" spans="1:3" ht="15.75" thickBot="1" x14ac:dyDescent="0.3">
      <c r="A1274" s="5">
        <v>733</v>
      </c>
      <c r="C1274" s="5">
        <v>606</v>
      </c>
    </row>
    <row r="1275" spans="1:3" x14ac:dyDescent="0.25">
      <c r="A1275" s="6"/>
      <c r="C1275" s="3"/>
    </row>
    <row r="1276" spans="1:3" ht="15.75" thickBot="1" x14ac:dyDescent="0.3">
      <c r="A1276" s="5">
        <v>734</v>
      </c>
      <c r="C1276" s="5">
        <v>607</v>
      </c>
    </row>
    <row r="1277" spans="1:3" x14ac:dyDescent="0.25">
      <c r="A1277" s="6"/>
      <c r="C1277" s="3"/>
    </row>
    <row r="1278" spans="1:3" ht="15.75" thickBot="1" x14ac:dyDescent="0.3">
      <c r="A1278" s="5">
        <v>735</v>
      </c>
      <c r="C1278" s="5">
        <v>607</v>
      </c>
    </row>
    <row r="1279" spans="1:3" x14ac:dyDescent="0.25">
      <c r="A1279" s="6"/>
      <c r="C1279" s="3"/>
    </row>
    <row r="1280" spans="1:3" ht="15.75" thickBot="1" x14ac:dyDescent="0.3">
      <c r="A1280" s="5">
        <v>736</v>
      </c>
      <c r="C1280" s="5">
        <v>608</v>
      </c>
    </row>
    <row r="1281" spans="1:3" x14ac:dyDescent="0.25">
      <c r="A1281" s="6"/>
      <c r="C1281" s="3"/>
    </row>
    <row r="1282" spans="1:3" ht="15.75" thickBot="1" x14ac:dyDescent="0.3">
      <c r="A1282" s="5">
        <v>737</v>
      </c>
      <c r="C1282" s="5">
        <v>609</v>
      </c>
    </row>
    <row r="1283" spans="1:3" x14ac:dyDescent="0.25">
      <c r="A1283" s="6"/>
      <c r="C1283" s="3"/>
    </row>
    <row r="1284" spans="1:3" ht="15.75" thickBot="1" x14ac:dyDescent="0.3">
      <c r="A1284" s="5">
        <v>738</v>
      </c>
      <c r="C1284" s="5">
        <v>610</v>
      </c>
    </row>
    <row r="1285" spans="1:3" x14ac:dyDescent="0.25">
      <c r="A1285" s="6"/>
      <c r="C1285" s="3"/>
    </row>
    <row r="1286" spans="1:3" ht="15.75" thickBot="1" x14ac:dyDescent="0.3">
      <c r="A1286" s="5">
        <v>739</v>
      </c>
      <c r="C1286" s="5">
        <v>610</v>
      </c>
    </row>
    <row r="1287" spans="1:3" x14ac:dyDescent="0.25">
      <c r="A1287" s="6"/>
      <c r="C1287" s="3"/>
    </row>
    <row r="1288" spans="1:3" ht="15.75" thickBot="1" x14ac:dyDescent="0.3">
      <c r="A1288" s="5">
        <v>740</v>
      </c>
      <c r="C1288" s="5">
        <v>611</v>
      </c>
    </row>
    <row r="1289" spans="1:3" x14ac:dyDescent="0.25">
      <c r="A1289" s="6"/>
      <c r="C1289" s="3"/>
    </row>
    <row r="1290" spans="1:3" ht="15.75" thickBot="1" x14ac:dyDescent="0.3">
      <c r="A1290" s="5">
        <v>741</v>
      </c>
      <c r="C1290" s="5">
        <v>612</v>
      </c>
    </row>
    <row r="1291" spans="1:3" x14ac:dyDescent="0.25">
      <c r="A1291" s="6"/>
      <c r="C1291" s="3"/>
    </row>
    <row r="1292" spans="1:3" ht="15.75" thickBot="1" x14ac:dyDescent="0.3">
      <c r="A1292" s="5">
        <v>742</v>
      </c>
      <c r="C1292" s="5">
        <v>613</v>
      </c>
    </row>
    <row r="1293" spans="1:3" x14ac:dyDescent="0.25">
      <c r="A1293" s="6"/>
      <c r="C1293" s="3"/>
    </row>
    <row r="1294" spans="1:3" ht="15.75" thickBot="1" x14ac:dyDescent="0.3">
      <c r="A1294" s="5">
        <v>743</v>
      </c>
      <c r="C1294" s="5">
        <v>614</v>
      </c>
    </row>
    <row r="1295" spans="1:3" x14ac:dyDescent="0.25">
      <c r="A1295" s="6"/>
      <c r="C1295" s="3"/>
    </row>
    <row r="1296" spans="1:3" ht="15.75" thickBot="1" x14ac:dyDescent="0.3">
      <c r="A1296" s="5">
        <v>744</v>
      </c>
      <c r="C1296" s="5">
        <v>615</v>
      </c>
    </row>
    <row r="1297" spans="1:3" x14ac:dyDescent="0.25">
      <c r="A1297" s="6"/>
      <c r="C1297" s="3"/>
    </row>
    <row r="1298" spans="1:3" ht="15.75" thickBot="1" x14ac:dyDescent="0.3">
      <c r="A1298" s="5">
        <v>745</v>
      </c>
      <c r="C1298" s="5">
        <v>616</v>
      </c>
    </row>
    <row r="1299" spans="1:3" x14ac:dyDescent="0.25">
      <c r="A1299" s="6"/>
      <c r="C1299" s="3"/>
    </row>
    <row r="1300" spans="1:3" ht="15.75" thickBot="1" x14ac:dyDescent="0.3">
      <c r="A1300" s="5">
        <v>746</v>
      </c>
      <c r="C1300" s="5">
        <v>616</v>
      </c>
    </row>
    <row r="1301" spans="1:3" x14ac:dyDescent="0.25">
      <c r="A1301" s="6"/>
      <c r="C1301" s="3"/>
    </row>
    <row r="1302" spans="1:3" ht="15.75" thickBot="1" x14ac:dyDescent="0.3">
      <c r="A1302" s="5">
        <v>747</v>
      </c>
      <c r="C1302" s="5">
        <v>617</v>
      </c>
    </row>
    <row r="1303" spans="1:3" x14ac:dyDescent="0.25">
      <c r="A1303" s="6"/>
      <c r="C1303" s="3"/>
    </row>
    <row r="1304" spans="1:3" ht="15.75" thickBot="1" x14ac:dyDescent="0.3">
      <c r="A1304" s="5">
        <v>748</v>
      </c>
      <c r="C1304" s="5">
        <v>618</v>
      </c>
    </row>
    <row r="1305" spans="1:3" x14ac:dyDescent="0.25">
      <c r="A1305" s="6"/>
      <c r="C1305" s="3"/>
    </row>
    <row r="1306" spans="1:3" ht="15.75" thickBot="1" x14ac:dyDescent="0.3">
      <c r="A1306" s="5">
        <v>749</v>
      </c>
      <c r="C1306" s="5">
        <v>619</v>
      </c>
    </row>
    <row r="1307" spans="1:3" x14ac:dyDescent="0.25">
      <c r="A1307" s="6"/>
      <c r="C1307" s="3"/>
    </row>
    <row r="1308" spans="1:3" ht="15.75" thickBot="1" x14ac:dyDescent="0.3">
      <c r="A1308" s="5">
        <v>750</v>
      </c>
      <c r="C1308" s="5">
        <v>619</v>
      </c>
    </row>
    <row r="1309" spans="1:3" x14ac:dyDescent="0.25">
      <c r="A1309" s="6"/>
      <c r="C1309" s="3"/>
    </row>
    <row r="1310" spans="1:3" ht="15.75" thickBot="1" x14ac:dyDescent="0.3">
      <c r="A1310" s="5">
        <v>751</v>
      </c>
      <c r="C1310" s="5">
        <v>620</v>
      </c>
    </row>
    <row r="1311" spans="1:3" x14ac:dyDescent="0.25">
      <c r="A1311" s="6"/>
      <c r="C1311" s="3"/>
    </row>
    <row r="1312" spans="1:3" ht="15.75" thickBot="1" x14ac:dyDescent="0.3">
      <c r="A1312" s="5">
        <v>752</v>
      </c>
      <c r="C1312" s="5">
        <v>621</v>
      </c>
    </row>
    <row r="1313" spans="1:3" x14ac:dyDescent="0.25">
      <c r="A1313" s="6"/>
      <c r="C1313" s="3"/>
    </row>
    <row r="1314" spans="1:3" ht="15.75" thickBot="1" x14ac:dyDescent="0.3">
      <c r="A1314" s="5">
        <v>753</v>
      </c>
      <c r="C1314" s="5">
        <v>622</v>
      </c>
    </row>
    <row r="1315" spans="1:3" x14ac:dyDescent="0.25">
      <c r="A1315" s="6"/>
      <c r="C1315" s="3"/>
    </row>
    <row r="1316" spans="1:3" ht="15.75" thickBot="1" x14ac:dyDescent="0.3">
      <c r="A1316" s="5">
        <v>754</v>
      </c>
      <c r="C1316" s="5">
        <v>622</v>
      </c>
    </row>
    <row r="1317" spans="1:3" x14ac:dyDescent="0.25">
      <c r="A1317" s="6"/>
      <c r="C1317" s="3"/>
    </row>
    <row r="1318" spans="1:3" ht="15.75" thickBot="1" x14ac:dyDescent="0.3">
      <c r="A1318" s="5">
        <v>755</v>
      </c>
      <c r="C1318" s="5">
        <v>623</v>
      </c>
    </row>
    <row r="1319" spans="1:3" x14ac:dyDescent="0.25">
      <c r="A1319" s="6"/>
      <c r="C1319" s="3"/>
    </row>
    <row r="1320" spans="1:3" ht="15.75" thickBot="1" x14ac:dyDescent="0.3">
      <c r="A1320" s="5">
        <v>756</v>
      </c>
      <c r="C1320" s="5">
        <v>624</v>
      </c>
    </row>
    <row r="1321" spans="1:3" x14ac:dyDescent="0.25">
      <c r="A1321" s="6"/>
      <c r="C1321" s="3"/>
    </row>
    <row r="1322" spans="1:3" ht="15.75" thickBot="1" x14ac:dyDescent="0.3">
      <c r="A1322" s="5">
        <v>757</v>
      </c>
      <c r="C1322" s="5">
        <v>624</v>
      </c>
    </row>
    <row r="1323" spans="1:3" x14ac:dyDescent="0.25">
      <c r="A1323" s="6"/>
      <c r="C1323" s="3"/>
    </row>
    <row r="1324" spans="1:3" ht="15.75" thickBot="1" x14ac:dyDescent="0.3">
      <c r="A1324" s="5">
        <v>758</v>
      </c>
      <c r="C1324" s="5">
        <v>625</v>
      </c>
    </row>
    <row r="1325" spans="1:3" x14ac:dyDescent="0.25">
      <c r="A1325" s="6"/>
      <c r="C1325" s="3"/>
    </row>
    <row r="1326" spans="1:3" ht="15.75" thickBot="1" x14ac:dyDescent="0.3">
      <c r="A1326" s="5">
        <v>759</v>
      </c>
      <c r="C1326" s="5">
        <v>626</v>
      </c>
    </row>
    <row r="1327" spans="1:3" x14ac:dyDescent="0.25">
      <c r="A1327" s="6"/>
      <c r="C1327" s="3"/>
    </row>
    <row r="1328" spans="1:3" ht="15.75" thickBot="1" x14ac:dyDescent="0.3">
      <c r="A1328" s="5">
        <v>760</v>
      </c>
      <c r="C1328" s="5">
        <v>627</v>
      </c>
    </row>
    <row r="1329" spans="1:3" x14ac:dyDescent="0.25">
      <c r="A1329" s="6"/>
      <c r="C1329" s="3"/>
    </row>
    <row r="1330" spans="1:3" ht="15.75" thickBot="1" x14ac:dyDescent="0.3">
      <c r="A1330" s="5">
        <v>761</v>
      </c>
      <c r="C1330" s="5">
        <v>627</v>
      </c>
    </row>
    <row r="1331" spans="1:3" x14ac:dyDescent="0.25">
      <c r="A1331" s="6"/>
      <c r="C1331" s="3"/>
    </row>
    <row r="1332" spans="1:3" ht="15.75" thickBot="1" x14ac:dyDescent="0.3">
      <c r="A1332" s="5">
        <v>762</v>
      </c>
      <c r="C1332" s="5">
        <v>628</v>
      </c>
    </row>
    <row r="1333" spans="1:3" x14ac:dyDescent="0.25">
      <c r="A1333" s="6"/>
      <c r="C1333" s="3"/>
    </row>
    <row r="1334" spans="1:3" ht="15.75" thickBot="1" x14ac:dyDescent="0.3">
      <c r="A1334" s="5">
        <v>763</v>
      </c>
      <c r="C1334" s="5">
        <v>629</v>
      </c>
    </row>
    <row r="1335" spans="1:3" x14ac:dyDescent="0.25">
      <c r="A1335" s="6"/>
      <c r="C1335" s="3"/>
    </row>
    <row r="1336" spans="1:3" ht="15.75" thickBot="1" x14ac:dyDescent="0.3">
      <c r="A1336" s="5">
        <v>764</v>
      </c>
      <c r="C1336" s="5">
        <v>630</v>
      </c>
    </row>
    <row r="1337" spans="1:3" x14ac:dyDescent="0.25">
      <c r="A1337" s="6"/>
      <c r="C1337" s="3"/>
    </row>
    <row r="1338" spans="1:3" ht="15.75" thickBot="1" x14ac:dyDescent="0.3">
      <c r="A1338" s="5">
        <v>765</v>
      </c>
      <c r="C1338" s="5">
        <v>630</v>
      </c>
    </row>
    <row r="1339" spans="1:3" x14ac:dyDescent="0.25">
      <c r="A1339" s="6"/>
      <c r="C1339" s="3"/>
    </row>
    <row r="1340" spans="1:3" ht="15.75" thickBot="1" x14ac:dyDescent="0.3">
      <c r="A1340" s="5">
        <v>766</v>
      </c>
      <c r="C1340" s="5">
        <v>631</v>
      </c>
    </row>
    <row r="1341" spans="1:3" x14ac:dyDescent="0.25">
      <c r="A1341" s="6"/>
      <c r="C1341" s="3"/>
    </row>
    <row r="1342" spans="1:3" ht="15.75" thickBot="1" x14ac:dyDescent="0.3">
      <c r="A1342" s="5">
        <v>767</v>
      </c>
      <c r="C1342" s="5">
        <v>632</v>
      </c>
    </row>
    <row r="1343" spans="1:3" x14ac:dyDescent="0.25">
      <c r="A1343" s="6"/>
      <c r="C1343" s="3"/>
    </row>
    <row r="1344" spans="1:3" ht="15.75" thickBot="1" x14ac:dyDescent="0.3">
      <c r="A1344" s="5">
        <v>768</v>
      </c>
      <c r="C1344" s="5">
        <v>633</v>
      </c>
    </row>
    <row r="1345" spans="1:3" x14ac:dyDescent="0.25">
      <c r="A1345" s="6"/>
      <c r="C1345" s="3"/>
    </row>
    <row r="1346" spans="1:3" ht="15.75" thickBot="1" x14ac:dyDescent="0.3">
      <c r="A1346" s="5">
        <v>769</v>
      </c>
      <c r="C1346" s="5">
        <v>633</v>
      </c>
    </row>
    <row r="1347" spans="1:3" x14ac:dyDescent="0.25">
      <c r="A1347" s="6"/>
      <c r="C1347" s="3"/>
    </row>
    <row r="1348" spans="1:3" ht="15.75" thickBot="1" x14ac:dyDescent="0.3">
      <c r="A1348" s="5">
        <v>770</v>
      </c>
      <c r="C1348" s="5">
        <v>634</v>
      </c>
    </row>
    <row r="1349" spans="1:3" x14ac:dyDescent="0.25">
      <c r="A1349" s="6"/>
      <c r="C1349" s="3"/>
    </row>
    <row r="1350" spans="1:3" ht="15.75" thickBot="1" x14ac:dyDescent="0.3">
      <c r="A1350" s="5">
        <v>771</v>
      </c>
      <c r="C1350" s="5">
        <v>635</v>
      </c>
    </row>
    <row r="1351" spans="1:3" x14ac:dyDescent="0.25">
      <c r="A1351" s="6"/>
      <c r="C1351" s="3"/>
    </row>
    <row r="1352" spans="1:3" ht="15.75" thickBot="1" x14ac:dyDescent="0.3">
      <c r="A1352" s="5">
        <v>772</v>
      </c>
      <c r="C1352" s="5">
        <v>635</v>
      </c>
    </row>
    <row r="1353" spans="1:3" x14ac:dyDescent="0.25">
      <c r="A1353" s="6"/>
      <c r="C1353" s="3"/>
    </row>
    <row r="1354" spans="1:3" ht="15.75" thickBot="1" x14ac:dyDescent="0.3">
      <c r="A1354" s="5">
        <v>773</v>
      </c>
      <c r="C1354" s="5">
        <v>636</v>
      </c>
    </row>
    <row r="1355" spans="1:3" x14ac:dyDescent="0.25">
      <c r="A1355" s="6"/>
      <c r="C1355" s="3"/>
    </row>
    <row r="1356" spans="1:3" ht="15.75" thickBot="1" x14ac:dyDescent="0.3">
      <c r="A1356" s="5">
        <v>774</v>
      </c>
      <c r="C1356" s="5">
        <v>637</v>
      </c>
    </row>
    <row r="1357" spans="1:3" x14ac:dyDescent="0.25">
      <c r="A1357" s="6"/>
      <c r="C1357" s="3"/>
    </row>
    <row r="1358" spans="1:3" ht="15.75" thickBot="1" x14ac:dyDescent="0.3">
      <c r="A1358" s="5">
        <v>775</v>
      </c>
      <c r="C1358" s="5">
        <v>638</v>
      </c>
    </row>
    <row r="1359" spans="1:3" x14ac:dyDescent="0.25">
      <c r="A1359" s="6"/>
      <c r="C1359" s="3"/>
    </row>
    <row r="1360" spans="1:3" ht="15.75" thickBot="1" x14ac:dyDescent="0.3">
      <c r="A1360" s="5">
        <v>776</v>
      </c>
      <c r="C1360" s="5">
        <v>638</v>
      </c>
    </row>
    <row r="1361" spans="1:3" x14ac:dyDescent="0.25">
      <c r="A1361" s="6"/>
      <c r="C1361" s="3"/>
    </row>
    <row r="1362" spans="1:3" ht="15.75" thickBot="1" x14ac:dyDescent="0.3">
      <c r="A1362" s="5">
        <v>777</v>
      </c>
      <c r="C1362" s="5">
        <v>639</v>
      </c>
    </row>
    <row r="1363" spans="1:3" x14ac:dyDescent="0.25">
      <c r="A1363" s="6"/>
      <c r="C1363" s="3"/>
    </row>
    <row r="1364" spans="1:3" ht="15.75" thickBot="1" x14ac:dyDescent="0.3">
      <c r="A1364" s="5">
        <v>778</v>
      </c>
      <c r="C1364" s="5">
        <v>640</v>
      </c>
    </row>
    <row r="1365" spans="1:3" x14ac:dyDescent="0.25">
      <c r="A1365" s="6"/>
      <c r="C1365" s="3"/>
    </row>
    <row r="1366" spans="1:3" ht="15.75" thickBot="1" x14ac:dyDescent="0.3">
      <c r="A1366" s="5">
        <v>779</v>
      </c>
      <c r="C1366" s="5">
        <v>641</v>
      </c>
    </row>
    <row r="1367" spans="1:3" x14ac:dyDescent="0.25">
      <c r="A1367" s="6"/>
      <c r="C1367" s="3"/>
    </row>
    <row r="1368" spans="1:3" ht="15.75" thickBot="1" x14ac:dyDescent="0.3">
      <c r="A1368" s="5">
        <v>780</v>
      </c>
      <c r="C1368" s="5">
        <v>642</v>
      </c>
    </row>
    <row r="1369" spans="1:3" x14ac:dyDescent="0.25">
      <c r="A1369" s="6"/>
      <c r="C1369" s="3"/>
    </row>
    <row r="1370" spans="1:3" ht="15.75" thickBot="1" x14ac:dyDescent="0.3">
      <c r="A1370" s="5">
        <v>781</v>
      </c>
      <c r="C1370" s="5">
        <v>643</v>
      </c>
    </row>
    <row r="1371" spans="1:3" x14ac:dyDescent="0.25">
      <c r="A1371" s="6"/>
      <c r="C1371" s="3"/>
    </row>
    <row r="1372" spans="1:3" ht="15.75" thickBot="1" x14ac:dyDescent="0.3">
      <c r="A1372" s="5">
        <v>782</v>
      </c>
      <c r="C1372" s="5">
        <v>644</v>
      </c>
    </row>
    <row r="1373" spans="1:3" x14ac:dyDescent="0.25">
      <c r="A1373" s="6"/>
      <c r="C1373" s="3"/>
    </row>
    <row r="1374" spans="1:3" ht="15.75" thickBot="1" x14ac:dyDescent="0.3">
      <c r="A1374" s="5">
        <v>783</v>
      </c>
      <c r="C1374" s="5">
        <v>645</v>
      </c>
    </row>
    <row r="1375" spans="1:3" x14ac:dyDescent="0.25">
      <c r="A1375" s="6"/>
      <c r="C1375" s="3"/>
    </row>
    <row r="1376" spans="1:3" ht="15.75" thickBot="1" x14ac:dyDescent="0.3">
      <c r="A1376" s="5">
        <v>784</v>
      </c>
      <c r="C1376" s="5">
        <v>645</v>
      </c>
    </row>
    <row r="1377" spans="1:3" x14ac:dyDescent="0.25">
      <c r="A1377" s="6"/>
      <c r="C1377" s="3"/>
    </row>
    <row r="1378" spans="1:3" ht="15.75" thickBot="1" x14ac:dyDescent="0.3">
      <c r="A1378" s="5">
        <v>785</v>
      </c>
      <c r="C1378" s="5">
        <v>646</v>
      </c>
    </row>
    <row r="1379" spans="1:3" x14ac:dyDescent="0.25">
      <c r="A1379" s="6"/>
      <c r="C1379" s="3"/>
    </row>
    <row r="1380" spans="1:3" ht="15.75" thickBot="1" x14ac:dyDescent="0.3">
      <c r="A1380" s="5">
        <v>786</v>
      </c>
      <c r="C1380" s="5">
        <v>647</v>
      </c>
    </row>
    <row r="1381" spans="1:3" x14ac:dyDescent="0.25">
      <c r="A1381" s="6"/>
      <c r="C1381" s="3"/>
    </row>
    <row r="1382" spans="1:3" ht="15.75" thickBot="1" x14ac:dyDescent="0.3">
      <c r="A1382" s="5">
        <v>787</v>
      </c>
      <c r="C1382" s="5">
        <v>648</v>
      </c>
    </row>
    <row r="1383" spans="1:3" x14ac:dyDescent="0.25">
      <c r="A1383" s="6"/>
      <c r="C1383" s="3"/>
    </row>
    <row r="1384" spans="1:3" ht="15.75" thickBot="1" x14ac:dyDescent="0.3">
      <c r="A1384" s="5">
        <v>788</v>
      </c>
      <c r="C1384" s="5">
        <v>648</v>
      </c>
    </row>
    <row r="1385" spans="1:3" x14ac:dyDescent="0.25">
      <c r="A1385" s="6"/>
      <c r="C1385" s="3"/>
    </row>
    <row r="1386" spans="1:3" ht="15.75" thickBot="1" x14ac:dyDescent="0.3">
      <c r="A1386" s="5">
        <v>789</v>
      </c>
      <c r="C1386" s="5">
        <v>649</v>
      </c>
    </row>
    <row r="1387" spans="1:3" x14ac:dyDescent="0.25">
      <c r="A1387" s="6"/>
      <c r="C1387" s="3"/>
    </row>
    <row r="1388" spans="1:3" ht="15.75" thickBot="1" x14ac:dyDescent="0.3">
      <c r="A1388" s="5">
        <v>790</v>
      </c>
      <c r="C1388" s="5">
        <v>650</v>
      </c>
    </row>
    <row r="1389" spans="1:3" x14ac:dyDescent="0.25">
      <c r="A1389" s="6"/>
      <c r="C1389" s="3"/>
    </row>
    <row r="1390" spans="1:3" ht="15.75" thickBot="1" x14ac:dyDescent="0.3">
      <c r="A1390" s="5">
        <v>791</v>
      </c>
      <c r="C1390" s="5">
        <v>650</v>
      </c>
    </row>
    <row r="1391" spans="1:3" x14ac:dyDescent="0.25">
      <c r="A1391" s="6"/>
      <c r="C1391" s="3"/>
    </row>
    <row r="1392" spans="1:3" ht="15.75" thickBot="1" x14ac:dyDescent="0.3">
      <c r="A1392" s="5">
        <v>792</v>
      </c>
      <c r="C1392" s="5">
        <v>651</v>
      </c>
    </row>
    <row r="1393" spans="1:3" x14ac:dyDescent="0.25">
      <c r="A1393" s="6"/>
      <c r="C1393" s="3"/>
    </row>
    <row r="1394" spans="1:3" ht="15.75" thickBot="1" x14ac:dyDescent="0.3">
      <c r="A1394" s="5">
        <v>793</v>
      </c>
      <c r="C1394" s="5">
        <v>652</v>
      </c>
    </row>
    <row r="1395" spans="1:3" x14ac:dyDescent="0.25">
      <c r="A1395" s="6"/>
      <c r="C1395" s="3"/>
    </row>
    <row r="1396" spans="1:3" ht="15.75" thickBot="1" x14ac:dyDescent="0.3">
      <c r="A1396" s="5">
        <v>794</v>
      </c>
      <c r="C1396" s="5">
        <v>653</v>
      </c>
    </row>
    <row r="1397" spans="1:3" x14ac:dyDescent="0.25">
      <c r="A1397" s="6"/>
      <c r="C1397" s="3"/>
    </row>
    <row r="1398" spans="1:3" ht="15.75" thickBot="1" x14ac:dyDescent="0.3">
      <c r="A1398" s="5">
        <v>795</v>
      </c>
      <c r="C1398" s="5">
        <v>653</v>
      </c>
    </row>
    <row r="1399" spans="1:3" x14ac:dyDescent="0.25">
      <c r="A1399" s="6"/>
      <c r="C1399" s="3"/>
    </row>
    <row r="1400" spans="1:3" ht="15.75" thickBot="1" x14ac:dyDescent="0.3">
      <c r="A1400" s="5">
        <v>796</v>
      </c>
      <c r="C1400" s="5">
        <v>654</v>
      </c>
    </row>
    <row r="1401" spans="1:3" x14ac:dyDescent="0.25">
      <c r="A1401" s="6"/>
      <c r="C1401" s="3"/>
    </row>
    <row r="1402" spans="1:3" ht="15.75" thickBot="1" x14ac:dyDescent="0.3">
      <c r="A1402" s="5">
        <v>797</v>
      </c>
      <c r="C1402" s="5">
        <v>655</v>
      </c>
    </row>
    <row r="1403" spans="1:3" x14ac:dyDescent="0.25">
      <c r="A1403" s="6"/>
      <c r="C1403" s="3"/>
    </row>
    <row r="1404" spans="1:3" ht="15.75" thickBot="1" x14ac:dyDescent="0.3">
      <c r="A1404" s="5">
        <v>798</v>
      </c>
      <c r="C1404" s="5">
        <v>656</v>
      </c>
    </row>
    <row r="1405" spans="1:3" x14ac:dyDescent="0.25">
      <c r="A1405" s="6"/>
      <c r="C1405" s="3"/>
    </row>
    <row r="1406" spans="1:3" ht="15.75" thickBot="1" x14ac:dyDescent="0.3">
      <c r="A1406" s="5">
        <v>799</v>
      </c>
      <c r="C1406" s="5">
        <v>656</v>
      </c>
    </row>
    <row r="1407" spans="1:3" x14ac:dyDescent="0.25">
      <c r="A1407" s="6"/>
      <c r="C1407" s="3"/>
    </row>
    <row r="1408" spans="1:3" ht="15.75" thickBot="1" x14ac:dyDescent="0.3">
      <c r="A1408" s="5">
        <v>800</v>
      </c>
      <c r="C1408" s="5">
        <v>657</v>
      </c>
    </row>
    <row r="1409" spans="1:3" x14ac:dyDescent="0.25">
      <c r="A1409" s="6"/>
      <c r="C1409" s="3"/>
    </row>
    <row r="1410" spans="1:3" ht="15.75" thickBot="1" x14ac:dyDescent="0.3">
      <c r="A1410" s="5">
        <v>801</v>
      </c>
      <c r="C1410" s="5">
        <v>658</v>
      </c>
    </row>
    <row r="1411" spans="1:3" x14ac:dyDescent="0.25">
      <c r="A1411" s="6"/>
      <c r="C1411" s="3"/>
    </row>
    <row r="1412" spans="1:3" ht="15.75" thickBot="1" x14ac:dyDescent="0.3">
      <c r="A1412" s="5">
        <v>802</v>
      </c>
      <c r="C1412" s="5">
        <v>659</v>
      </c>
    </row>
    <row r="1413" spans="1:3" x14ac:dyDescent="0.25">
      <c r="A1413" s="6"/>
      <c r="C1413" s="3"/>
    </row>
    <row r="1414" spans="1:3" ht="15.75" thickBot="1" x14ac:dyDescent="0.3">
      <c r="A1414" s="5">
        <v>803</v>
      </c>
      <c r="C1414" s="5">
        <v>659</v>
      </c>
    </row>
    <row r="1415" spans="1:3" x14ac:dyDescent="0.25">
      <c r="A1415" s="6"/>
      <c r="C1415" s="3"/>
    </row>
    <row r="1416" spans="1:3" ht="15.75" thickBot="1" x14ac:dyDescent="0.3">
      <c r="A1416" s="5">
        <v>804</v>
      </c>
      <c r="C1416" s="5">
        <v>660</v>
      </c>
    </row>
    <row r="1417" spans="1:3" x14ac:dyDescent="0.25">
      <c r="A1417" s="6"/>
      <c r="C1417" s="3"/>
    </row>
    <row r="1418" spans="1:3" ht="15.75" thickBot="1" x14ac:dyDescent="0.3">
      <c r="A1418" s="5">
        <v>805</v>
      </c>
      <c r="C1418" s="5">
        <v>661</v>
      </c>
    </row>
    <row r="1419" spans="1:3" x14ac:dyDescent="0.25">
      <c r="A1419" s="6"/>
      <c r="C1419" s="3"/>
    </row>
    <row r="1420" spans="1:3" ht="15.75" thickBot="1" x14ac:dyDescent="0.3">
      <c r="A1420" s="5">
        <v>806</v>
      </c>
      <c r="C1420" s="5">
        <v>661</v>
      </c>
    </row>
    <row r="1421" spans="1:3" x14ac:dyDescent="0.25">
      <c r="A1421" s="6"/>
      <c r="C1421" s="3"/>
    </row>
    <row r="1422" spans="1:3" ht="15.75" thickBot="1" x14ac:dyDescent="0.3">
      <c r="A1422" s="5">
        <v>807</v>
      </c>
      <c r="C1422" s="5">
        <v>662</v>
      </c>
    </row>
    <row r="1423" spans="1:3" x14ac:dyDescent="0.25">
      <c r="A1423" s="6"/>
      <c r="C1423" s="3"/>
    </row>
    <row r="1424" spans="1:3" ht="15.75" thickBot="1" x14ac:dyDescent="0.3">
      <c r="A1424" s="5">
        <v>808</v>
      </c>
      <c r="C1424" s="5">
        <v>663</v>
      </c>
    </row>
    <row r="1425" spans="1:3" x14ac:dyDescent="0.25">
      <c r="A1425" s="6"/>
      <c r="C1425" s="3"/>
    </row>
    <row r="1426" spans="1:3" ht="15.75" thickBot="1" x14ac:dyDescent="0.3">
      <c r="A1426" s="5">
        <v>809</v>
      </c>
      <c r="C1426" s="5">
        <v>664</v>
      </c>
    </row>
    <row r="1427" spans="1:3" x14ac:dyDescent="0.25">
      <c r="A1427" s="6"/>
      <c r="C1427" s="3"/>
    </row>
    <row r="1428" spans="1:3" ht="15.75" thickBot="1" x14ac:dyDescent="0.3">
      <c r="A1428" s="5">
        <v>810</v>
      </c>
      <c r="C1428" s="5">
        <v>664</v>
      </c>
    </row>
    <row r="1429" spans="1:3" x14ac:dyDescent="0.25">
      <c r="A1429" s="6"/>
      <c r="C1429" s="3"/>
    </row>
    <row r="1430" spans="1:3" ht="15.75" thickBot="1" x14ac:dyDescent="0.3">
      <c r="A1430" s="5">
        <v>811</v>
      </c>
      <c r="C1430" s="5">
        <v>665</v>
      </c>
    </row>
    <row r="1431" spans="1:3" x14ac:dyDescent="0.25">
      <c r="A1431" s="6"/>
      <c r="C1431" s="3"/>
    </row>
    <row r="1432" spans="1:3" ht="15.75" thickBot="1" x14ac:dyDescent="0.3">
      <c r="A1432" s="5">
        <v>812</v>
      </c>
      <c r="C1432" s="5">
        <v>666</v>
      </c>
    </row>
    <row r="1433" spans="1:3" x14ac:dyDescent="0.25">
      <c r="A1433" s="6"/>
      <c r="C1433" s="3"/>
    </row>
    <row r="1434" spans="1:3" ht="15.75" thickBot="1" x14ac:dyDescent="0.3">
      <c r="A1434" s="5">
        <v>813</v>
      </c>
      <c r="C1434" s="5">
        <v>667</v>
      </c>
    </row>
    <row r="1435" spans="1:3" x14ac:dyDescent="0.25">
      <c r="A1435" s="6"/>
      <c r="C1435" s="3"/>
    </row>
    <row r="1436" spans="1:3" ht="15.75" thickBot="1" x14ac:dyDescent="0.3">
      <c r="A1436" s="5">
        <v>814</v>
      </c>
      <c r="C1436" s="5">
        <v>667</v>
      </c>
    </row>
    <row r="1437" spans="1:3" x14ac:dyDescent="0.25">
      <c r="A1437" s="6"/>
      <c r="C1437" s="3"/>
    </row>
    <row r="1438" spans="1:3" ht="15.75" thickBot="1" x14ac:dyDescent="0.3">
      <c r="A1438" s="5">
        <v>815</v>
      </c>
      <c r="C1438" s="5">
        <v>668</v>
      </c>
    </row>
    <row r="1439" spans="1:3" x14ac:dyDescent="0.25">
      <c r="A1439" s="6"/>
      <c r="C1439" s="3"/>
    </row>
    <row r="1440" spans="1:3" ht="15.75" thickBot="1" x14ac:dyDescent="0.3">
      <c r="A1440" s="5">
        <v>816</v>
      </c>
      <c r="C1440" s="5">
        <v>669</v>
      </c>
    </row>
    <row r="1441" spans="1:3" x14ac:dyDescent="0.25">
      <c r="A1441" s="6"/>
      <c r="C1441" s="3"/>
    </row>
    <row r="1442" spans="1:3" ht="15.75" thickBot="1" x14ac:dyDescent="0.3">
      <c r="A1442" s="5">
        <v>817</v>
      </c>
      <c r="C1442" s="5">
        <v>670</v>
      </c>
    </row>
    <row r="1443" spans="1:3" x14ac:dyDescent="0.25">
      <c r="A1443" s="6"/>
      <c r="C1443" s="3"/>
    </row>
    <row r="1444" spans="1:3" ht="15.75" thickBot="1" x14ac:dyDescent="0.3">
      <c r="A1444" s="5">
        <v>818</v>
      </c>
      <c r="C1444" s="5">
        <v>670</v>
      </c>
    </row>
    <row r="1445" spans="1:3" x14ac:dyDescent="0.25">
      <c r="A1445" s="6"/>
      <c r="C1445" s="3"/>
    </row>
    <row r="1446" spans="1:3" ht="15.75" thickBot="1" x14ac:dyDescent="0.3">
      <c r="A1446" s="5">
        <v>819</v>
      </c>
      <c r="C1446" s="5">
        <v>671</v>
      </c>
    </row>
    <row r="1447" spans="1:3" x14ac:dyDescent="0.25">
      <c r="A1447" s="6"/>
      <c r="C1447" s="3"/>
    </row>
    <row r="1448" spans="1:3" ht="15.75" thickBot="1" x14ac:dyDescent="0.3">
      <c r="A1448" s="5">
        <v>820</v>
      </c>
      <c r="C1448" s="5">
        <v>672</v>
      </c>
    </row>
    <row r="1449" spans="1:3" x14ac:dyDescent="0.25">
      <c r="A1449" s="6"/>
      <c r="C1449" s="3"/>
    </row>
    <row r="1450" spans="1:3" ht="15.75" thickBot="1" x14ac:dyDescent="0.3">
      <c r="A1450" s="5">
        <v>821</v>
      </c>
      <c r="C1450" s="5">
        <v>673</v>
      </c>
    </row>
    <row r="1451" spans="1:3" x14ac:dyDescent="0.25">
      <c r="A1451" s="6"/>
      <c r="C1451" s="3"/>
    </row>
    <row r="1452" spans="1:3" ht="15.75" thickBot="1" x14ac:dyDescent="0.3">
      <c r="A1452" s="5">
        <v>822</v>
      </c>
      <c r="C1452" s="5">
        <v>674</v>
      </c>
    </row>
    <row r="1453" spans="1:3" x14ac:dyDescent="0.25">
      <c r="A1453" s="6"/>
      <c r="C1453" s="3"/>
    </row>
    <row r="1454" spans="1:3" ht="15.75" thickBot="1" x14ac:dyDescent="0.3">
      <c r="A1454" s="5">
        <v>823</v>
      </c>
      <c r="C1454" s="5">
        <v>675</v>
      </c>
    </row>
    <row r="1455" spans="1:3" x14ac:dyDescent="0.25">
      <c r="A1455" s="6"/>
      <c r="C1455" s="3"/>
    </row>
    <row r="1456" spans="1:3" ht="15.75" thickBot="1" x14ac:dyDescent="0.3">
      <c r="A1456" s="5">
        <v>824</v>
      </c>
      <c r="C1456" s="5">
        <v>676</v>
      </c>
    </row>
    <row r="1457" spans="1:3" x14ac:dyDescent="0.25">
      <c r="A1457" s="6"/>
      <c r="C1457" s="3"/>
    </row>
    <row r="1458" spans="1:3" ht="15.75" thickBot="1" x14ac:dyDescent="0.3">
      <c r="A1458" s="5">
        <v>825</v>
      </c>
      <c r="C1458" s="5">
        <v>676</v>
      </c>
    </row>
    <row r="1459" spans="1:3" x14ac:dyDescent="0.25">
      <c r="A1459" s="6"/>
      <c r="C1459" s="3"/>
    </row>
    <row r="1460" spans="1:3" ht="15.75" thickBot="1" x14ac:dyDescent="0.3">
      <c r="A1460" s="5">
        <v>826</v>
      </c>
      <c r="C1460" s="5">
        <v>677</v>
      </c>
    </row>
    <row r="1461" spans="1:3" x14ac:dyDescent="0.25">
      <c r="A1461" s="6"/>
      <c r="C1461" s="3"/>
    </row>
    <row r="1462" spans="1:3" ht="15.75" thickBot="1" x14ac:dyDescent="0.3">
      <c r="A1462" s="5">
        <v>827</v>
      </c>
      <c r="C1462" s="5">
        <v>678</v>
      </c>
    </row>
    <row r="1463" spans="1:3" x14ac:dyDescent="0.25">
      <c r="A1463" s="6"/>
      <c r="C1463" s="3"/>
    </row>
    <row r="1464" spans="1:3" ht="15.75" thickBot="1" x14ac:dyDescent="0.3">
      <c r="A1464" s="5">
        <v>828</v>
      </c>
      <c r="C1464" s="5">
        <v>679</v>
      </c>
    </row>
    <row r="1465" spans="1:3" x14ac:dyDescent="0.25">
      <c r="A1465" s="6"/>
      <c r="C1465" s="3"/>
    </row>
    <row r="1466" spans="1:3" ht="15.75" thickBot="1" x14ac:dyDescent="0.3">
      <c r="A1466" s="5">
        <v>829</v>
      </c>
      <c r="C1466" s="5">
        <v>679</v>
      </c>
    </row>
    <row r="1467" spans="1:3" x14ac:dyDescent="0.25">
      <c r="A1467" s="6"/>
      <c r="C1467" s="3"/>
    </row>
    <row r="1468" spans="1:3" ht="15.75" thickBot="1" x14ac:dyDescent="0.3">
      <c r="A1468" s="5">
        <v>830</v>
      </c>
      <c r="C1468" s="5">
        <v>680</v>
      </c>
    </row>
    <row r="1469" spans="1:3" x14ac:dyDescent="0.25">
      <c r="A1469" s="6"/>
      <c r="C1469" s="3"/>
    </row>
    <row r="1470" spans="1:3" ht="15.75" thickBot="1" x14ac:dyDescent="0.3">
      <c r="A1470" s="5">
        <v>831</v>
      </c>
      <c r="C1470" s="5">
        <v>681</v>
      </c>
    </row>
    <row r="1471" spans="1:3" x14ac:dyDescent="0.25">
      <c r="A1471" s="6"/>
      <c r="C1471" s="3"/>
    </row>
    <row r="1472" spans="1:3" ht="15.75" thickBot="1" x14ac:dyDescent="0.3">
      <c r="A1472" s="5">
        <v>832</v>
      </c>
      <c r="C1472" s="5">
        <v>682</v>
      </c>
    </row>
    <row r="1473" spans="1:3" x14ac:dyDescent="0.25">
      <c r="A1473" s="6"/>
      <c r="C1473" s="3"/>
    </row>
    <row r="1474" spans="1:3" ht="15.75" thickBot="1" x14ac:dyDescent="0.3">
      <c r="A1474" s="5">
        <v>833</v>
      </c>
      <c r="C1474" s="5">
        <v>682</v>
      </c>
    </row>
    <row r="1475" spans="1:3" x14ac:dyDescent="0.25">
      <c r="A1475" s="6"/>
      <c r="C1475" s="3"/>
    </row>
    <row r="1476" spans="1:3" ht="15.75" thickBot="1" x14ac:dyDescent="0.3">
      <c r="A1476" s="5">
        <v>834</v>
      </c>
      <c r="C1476" s="5">
        <v>683</v>
      </c>
    </row>
    <row r="1477" spans="1:3" x14ac:dyDescent="0.25">
      <c r="A1477" s="6"/>
      <c r="C1477" s="3"/>
    </row>
    <row r="1478" spans="1:3" ht="15.75" thickBot="1" x14ac:dyDescent="0.3">
      <c r="A1478" s="5">
        <v>835</v>
      </c>
      <c r="C1478" s="5">
        <v>684</v>
      </c>
    </row>
    <row r="1479" spans="1:3" x14ac:dyDescent="0.25">
      <c r="A1479" s="6"/>
      <c r="C1479" s="3"/>
    </row>
    <row r="1480" spans="1:3" ht="15.75" thickBot="1" x14ac:dyDescent="0.3">
      <c r="A1480" s="5">
        <v>836</v>
      </c>
      <c r="C1480" s="5">
        <v>685</v>
      </c>
    </row>
    <row r="1481" spans="1:3" x14ac:dyDescent="0.25">
      <c r="A1481" s="6"/>
      <c r="C1481" s="3"/>
    </row>
    <row r="1482" spans="1:3" ht="15.75" thickBot="1" x14ac:dyDescent="0.3">
      <c r="A1482" s="5">
        <v>837</v>
      </c>
      <c r="C1482" s="5">
        <v>685</v>
      </c>
    </row>
    <row r="1483" spans="1:3" x14ac:dyDescent="0.25">
      <c r="A1483" s="6"/>
      <c r="C1483" s="3"/>
    </row>
    <row r="1484" spans="1:3" ht="15.75" thickBot="1" x14ac:dyDescent="0.3">
      <c r="A1484" s="5">
        <v>838</v>
      </c>
      <c r="C1484" s="5">
        <v>686</v>
      </c>
    </row>
    <row r="1485" spans="1:3" x14ac:dyDescent="0.25">
      <c r="A1485" s="6"/>
      <c r="C1485" s="3"/>
    </row>
    <row r="1486" spans="1:3" ht="15.75" thickBot="1" x14ac:dyDescent="0.3">
      <c r="A1486" s="5">
        <v>839</v>
      </c>
      <c r="C1486" s="5">
        <v>687</v>
      </c>
    </row>
    <row r="1487" spans="1:3" x14ac:dyDescent="0.25">
      <c r="A1487" s="6"/>
      <c r="C1487" s="3"/>
    </row>
    <row r="1488" spans="1:3" ht="15.75" thickBot="1" x14ac:dyDescent="0.3">
      <c r="A1488" s="5">
        <v>840</v>
      </c>
      <c r="C1488" s="5">
        <v>687</v>
      </c>
    </row>
    <row r="1489" spans="1:3" x14ac:dyDescent="0.25">
      <c r="A1489" s="6"/>
      <c r="C1489" s="3"/>
    </row>
    <row r="1490" spans="1:3" ht="15.75" thickBot="1" x14ac:dyDescent="0.3">
      <c r="A1490" s="5">
        <v>841</v>
      </c>
      <c r="C1490" s="5">
        <v>688</v>
      </c>
    </row>
    <row r="1491" spans="1:3" x14ac:dyDescent="0.25">
      <c r="A1491" s="6"/>
      <c r="C1491" s="3"/>
    </row>
    <row r="1492" spans="1:3" ht="15.75" thickBot="1" x14ac:dyDescent="0.3">
      <c r="A1492" s="5">
        <v>842</v>
      </c>
      <c r="C1492" s="5">
        <v>689</v>
      </c>
    </row>
    <row r="1493" spans="1:3" x14ac:dyDescent="0.25">
      <c r="A1493" s="6"/>
      <c r="C1493" s="3"/>
    </row>
    <row r="1494" spans="1:3" ht="15.75" thickBot="1" x14ac:dyDescent="0.3">
      <c r="A1494" s="5">
        <v>843</v>
      </c>
      <c r="C1494" s="5">
        <v>690</v>
      </c>
    </row>
    <row r="1495" spans="1:3" x14ac:dyDescent="0.25">
      <c r="A1495" s="6"/>
      <c r="C1495" s="3"/>
    </row>
    <row r="1496" spans="1:3" ht="15.75" thickBot="1" x14ac:dyDescent="0.3">
      <c r="A1496" s="5">
        <v>844</v>
      </c>
      <c r="C1496" s="5">
        <v>690</v>
      </c>
    </row>
    <row r="1497" spans="1:3" x14ac:dyDescent="0.25">
      <c r="A1497" s="6"/>
      <c r="C1497" s="3"/>
    </row>
    <row r="1498" spans="1:3" ht="15.75" thickBot="1" x14ac:dyDescent="0.3">
      <c r="A1498" s="5">
        <v>845</v>
      </c>
      <c r="C1498" s="5">
        <v>691</v>
      </c>
    </row>
    <row r="1499" spans="1:3" x14ac:dyDescent="0.25">
      <c r="A1499" s="6"/>
      <c r="C1499" s="3"/>
    </row>
    <row r="1500" spans="1:3" ht="15.75" thickBot="1" x14ac:dyDescent="0.3">
      <c r="A1500" s="5">
        <v>846</v>
      </c>
      <c r="C1500" s="5">
        <v>692</v>
      </c>
    </row>
    <row r="1501" spans="1:3" x14ac:dyDescent="0.25">
      <c r="A1501" s="6"/>
      <c r="C1501" s="3"/>
    </row>
    <row r="1502" spans="1:3" ht="15.75" thickBot="1" x14ac:dyDescent="0.3">
      <c r="A1502" s="5">
        <v>847</v>
      </c>
      <c r="C1502" s="5">
        <v>693</v>
      </c>
    </row>
    <row r="1503" spans="1:3" x14ac:dyDescent="0.25">
      <c r="A1503" s="6"/>
      <c r="C1503" s="3"/>
    </row>
    <row r="1504" spans="1:3" ht="15.75" thickBot="1" x14ac:dyDescent="0.3">
      <c r="A1504" s="5">
        <v>848</v>
      </c>
      <c r="C1504" s="5">
        <v>693</v>
      </c>
    </row>
    <row r="1505" spans="1:3" x14ac:dyDescent="0.25">
      <c r="A1505" s="6"/>
      <c r="C1505" s="3"/>
    </row>
    <row r="1506" spans="1:3" ht="15.75" thickBot="1" x14ac:dyDescent="0.3">
      <c r="A1506" s="5">
        <v>849</v>
      </c>
      <c r="C1506" s="5">
        <v>694</v>
      </c>
    </row>
    <row r="1507" spans="1:3" x14ac:dyDescent="0.25">
      <c r="A1507" s="6"/>
      <c r="C1507" s="3"/>
    </row>
    <row r="1508" spans="1:3" ht="15.75" thickBot="1" x14ac:dyDescent="0.3">
      <c r="A1508" s="5">
        <v>850</v>
      </c>
      <c r="C1508" s="5">
        <v>695</v>
      </c>
    </row>
    <row r="1509" spans="1:3" x14ac:dyDescent="0.25">
      <c r="A1509" s="6"/>
      <c r="C1509" s="3"/>
    </row>
    <row r="1510" spans="1:3" ht="15.75" thickBot="1" x14ac:dyDescent="0.3">
      <c r="A1510" s="5">
        <v>851</v>
      </c>
      <c r="C1510" s="5">
        <v>696</v>
      </c>
    </row>
    <row r="1511" spans="1:3" x14ac:dyDescent="0.25">
      <c r="A1511" s="6"/>
      <c r="C1511" s="3"/>
    </row>
    <row r="1512" spans="1:3" ht="15.75" thickBot="1" x14ac:dyDescent="0.3">
      <c r="A1512" s="5">
        <v>852</v>
      </c>
      <c r="C1512" s="5">
        <v>696</v>
      </c>
    </row>
    <row r="1513" spans="1:3" x14ac:dyDescent="0.25">
      <c r="A1513" s="6"/>
      <c r="C1513" s="3"/>
    </row>
    <row r="1514" spans="1:3" ht="15.75" thickBot="1" x14ac:dyDescent="0.3">
      <c r="A1514" s="5">
        <v>853</v>
      </c>
      <c r="C1514" s="5">
        <v>697</v>
      </c>
    </row>
    <row r="1515" spans="1:3" x14ac:dyDescent="0.25">
      <c r="A1515" s="6"/>
      <c r="C1515" s="3"/>
    </row>
    <row r="1516" spans="1:3" ht="15.75" thickBot="1" x14ac:dyDescent="0.3">
      <c r="A1516" s="5">
        <v>854</v>
      </c>
      <c r="C1516" s="5">
        <v>698</v>
      </c>
    </row>
    <row r="1517" spans="1:3" x14ac:dyDescent="0.25">
      <c r="A1517" s="6"/>
      <c r="C1517" s="3"/>
    </row>
    <row r="1518" spans="1:3" ht="15.75" thickBot="1" x14ac:dyDescent="0.3">
      <c r="A1518" s="5">
        <v>855</v>
      </c>
      <c r="C1518" s="5">
        <v>699</v>
      </c>
    </row>
    <row r="1519" spans="1:3" x14ac:dyDescent="0.25">
      <c r="A1519" s="6"/>
      <c r="C1519" s="3"/>
    </row>
    <row r="1520" spans="1:3" ht="15.75" thickBot="1" x14ac:dyDescent="0.3">
      <c r="A1520" s="5">
        <v>856</v>
      </c>
      <c r="C1520" s="5">
        <v>699</v>
      </c>
    </row>
    <row r="1521" spans="1:3" x14ac:dyDescent="0.25">
      <c r="A1521" s="6"/>
      <c r="C1521" s="3"/>
    </row>
    <row r="1522" spans="1:3" ht="15.75" thickBot="1" x14ac:dyDescent="0.3">
      <c r="A1522" s="5">
        <v>857</v>
      </c>
      <c r="C1522" s="5">
        <v>700</v>
      </c>
    </row>
    <row r="1523" spans="1:3" x14ac:dyDescent="0.25">
      <c r="A1523" s="6"/>
      <c r="C1523" s="3"/>
    </row>
    <row r="1524" spans="1:3" ht="15.75" thickBot="1" x14ac:dyDescent="0.3">
      <c r="A1524" s="5">
        <v>858</v>
      </c>
      <c r="C1524" s="5">
        <v>701</v>
      </c>
    </row>
    <row r="1525" spans="1:3" x14ac:dyDescent="0.25">
      <c r="A1525" s="6"/>
      <c r="C1525" s="3"/>
    </row>
    <row r="1526" spans="1:3" ht="15.75" thickBot="1" x14ac:dyDescent="0.3">
      <c r="A1526" s="5">
        <v>859</v>
      </c>
      <c r="C1526" s="5">
        <v>702</v>
      </c>
    </row>
    <row r="1527" spans="1:3" x14ac:dyDescent="0.25">
      <c r="A1527" s="6"/>
      <c r="C1527" s="3"/>
    </row>
    <row r="1528" spans="1:3" ht="15.75" thickBot="1" x14ac:dyDescent="0.3">
      <c r="A1528" s="5">
        <v>860</v>
      </c>
      <c r="C1528" s="5">
        <v>703</v>
      </c>
    </row>
    <row r="1529" spans="1:3" x14ac:dyDescent="0.25">
      <c r="A1529" s="6"/>
      <c r="C1529" s="3"/>
    </row>
    <row r="1530" spans="1:3" ht="15.75" thickBot="1" x14ac:dyDescent="0.3">
      <c r="A1530" s="5">
        <v>861</v>
      </c>
      <c r="C1530" s="5">
        <v>704</v>
      </c>
    </row>
    <row r="1531" spans="1:3" x14ac:dyDescent="0.25">
      <c r="A1531" s="6"/>
      <c r="C1531" s="3"/>
    </row>
    <row r="1532" spans="1:3" ht="15.75" thickBot="1" x14ac:dyDescent="0.3">
      <c r="A1532" s="5">
        <v>862</v>
      </c>
      <c r="C1532" s="5">
        <v>705</v>
      </c>
    </row>
    <row r="1533" spans="1:3" x14ac:dyDescent="0.25">
      <c r="A1533" s="6"/>
      <c r="C1533" s="3"/>
    </row>
    <row r="1534" spans="1:3" ht="15.75" thickBot="1" x14ac:dyDescent="0.3">
      <c r="A1534" s="5">
        <v>863</v>
      </c>
      <c r="C1534" s="5">
        <v>705</v>
      </c>
    </row>
    <row r="1535" spans="1:3" x14ac:dyDescent="0.25">
      <c r="A1535" s="6"/>
      <c r="C1535" s="3"/>
    </row>
    <row r="1536" spans="1:3" ht="15.75" thickBot="1" x14ac:dyDescent="0.3">
      <c r="A1536" s="5">
        <v>864</v>
      </c>
      <c r="C1536" s="5">
        <v>706</v>
      </c>
    </row>
    <row r="1537" spans="1:3" x14ac:dyDescent="0.25">
      <c r="A1537" s="6"/>
      <c r="C1537" s="3"/>
    </row>
    <row r="1538" spans="1:3" ht="15.75" thickBot="1" x14ac:dyDescent="0.3">
      <c r="A1538" s="5">
        <v>865</v>
      </c>
      <c r="C1538" s="5">
        <v>707</v>
      </c>
    </row>
    <row r="1539" spans="1:3" x14ac:dyDescent="0.25">
      <c r="A1539" s="6"/>
      <c r="C1539" s="3"/>
    </row>
    <row r="1540" spans="1:3" ht="15.75" thickBot="1" x14ac:dyDescent="0.3">
      <c r="A1540" s="5">
        <v>866</v>
      </c>
      <c r="C1540" s="5">
        <v>708</v>
      </c>
    </row>
    <row r="1541" spans="1:3" x14ac:dyDescent="0.25">
      <c r="A1541" s="6"/>
      <c r="C1541" s="3"/>
    </row>
    <row r="1542" spans="1:3" ht="15.75" thickBot="1" x14ac:dyDescent="0.3">
      <c r="A1542" s="5">
        <v>867</v>
      </c>
      <c r="C1542" s="5">
        <v>708</v>
      </c>
    </row>
    <row r="1543" spans="1:3" x14ac:dyDescent="0.25">
      <c r="A1543" s="6"/>
      <c r="C1543" s="3"/>
    </row>
    <row r="1544" spans="1:3" ht="15.75" thickBot="1" x14ac:dyDescent="0.3">
      <c r="A1544" s="5">
        <v>868</v>
      </c>
      <c r="C1544" s="5">
        <v>709</v>
      </c>
    </row>
    <row r="1545" spans="1:3" x14ac:dyDescent="0.25">
      <c r="A1545" s="6"/>
      <c r="C1545" s="3"/>
    </row>
    <row r="1546" spans="1:3" ht="15.75" thickBot="1" x14ac:dyDescent="0.3">
      <c r="A1546" s="5">
        <v>869</v>
      </c>
      <c r="C1546" s="5">
        <v>710</v>
      </c>
    </row>
    <row r="1547" spans="1:3" x14ac:dyDescent="0.25">
      <c r="A1547" s="6"/>
      <c r="C1547" s="3"/>
    </row>
    <row r="1548" spans="1:3" ht="15.75" thickBot="1" x14ac:dyDescent="0.3">
      <c r="A1548" s="5">
        <v>870</v>
      </c>
      <c r="C1548" s="5">
        <v>711</v>
      </c>
    </row>
    <row r="1549" spans="1:3" x14ac:dyDescent="0.25">
      <c r="A1549" s="6"/>
      <c r="C1549" s="3"/>
    </row>
    <row r="1550" spans="1:3" ht="15.75" thickBot="1" x14ac:dyDescent="0.3">
      <c r="A1550" s="5">
        <v>871</v>
      </c>
      <c r="C1550" s="5">
        <v>711</v>
      </c>
    </row>
    <row r="1551" spans="1:3" x14ac:dyDescent="0.25">
      <c r="A1551" s="6"/>
      <c r="C1551" s="3"/>
    </row>
    <row r="1552" spans="1:3" ht="15.75" thickBot="1" x14ac:dyDescent="0.3">
      <c r="A1552" s="5">
        <v>872</v>
      </c>
      <c r="C1552" s="5">
        <v>712</v>
      </c>
    </row>
    <row r="1553" spans="1:3" x14ac:dyDescent="0.25">
      <c r="A1553" s="6"/>
      <c r="C1553" s="3"/>
    </row>
    <row r="1554" spans="1:3" ht="15.75" thickBot="1" x14ac:dyDescent="0.3">
      <c r="A1554" s="5">
        <v>873</v>
      </c>
      <c r="C1554" s="5">
        <v>713</v>
      </c>
    </row>
    <row r="1555" spans="1:3" x14ac:dyDescent="0.25">
      <c r="A1555" s="6"/>
      <c r="C1555" s="3"/>
    </row>
    <row r="1556" spans="1:3" ht="15.75" thickBot="1" x14ac:dyDescent="0.3">
      <c r="A1556" s="5">
        <v>874</v>
      </c>
      <c r="C1556" s="5">
        <v>713</v>
      </c>
    </row>
    <row r="1557" spans="1:3" x14ac:dyDescent="0.25">
      <c r="A1557" s="6"/>
      <c r="C1557" s="3"/>
    </row>
    <row r="1558" spans="1:3" ht="15.75" thickBot="1" x14ac:dyDescent="0.3">
      <c r="A1558" s="5">
        <v>875</v>
      </c>
      <c r="C1558" s="5">
        <v>714</v>
      </c>
    </row>
    <row r="1559" spans="1:3" x14ac:dyDescent="0.25">
      <c r="A1559" s="6"/>
      <c r="C1559" s="3"/>
    </row>
    <row r="1560" spans="1:3" ht="15.75" thickBot="1" x14ac:dyDescent="0.3">
      <c r="A1560" s="5">
        <v>876</v>
      </c>
      <c r="C1560" s="5">
        <v>715</v>
      </c>
    </row>
    <row r="1561" spans="1:3" x14ac:dyDescent="0.25">
      <c r="A1561" s="6"/>
      <c r="C1561" s="3"/>
    </row>
    <row r="1562" spans="1:3" ht="15.75" thickBot="1" x14ac:dyDescent="0.3">
      <c r="A1562" s="5">
        <v>877</v>
      </c>
      <c r="C1562" s="5">
        <v>716</v>
      </c>
    </row>
    <row r="1563" spans="1:3" x14ac:dyDescent="0.25">
      <c r="A1563" s="6"/>
      <c r="C1563" s="3"/>
    </row>
    <row r="1564" spans="1:3" ht="15.75" thickBot="1" x14ac:dyDescent="0.3">
      <c r="A1564" s="5">
        <v>878</v>
      </c>
      <c r="C1564" s="5">
        <v>716</v>
      </c>
    </row>
    <row r="1565" spans="1:3" x14ac:dyDescent="0.25">
      <c r="A1565" s="6"/>
      <c r="C1565" s="3"/>
    </row>
    <row r="1566" spans="1:3" ht="15.75" thickBot="1" x14ac:dyDescent="0.3">
      <c r="A1566" s="5">
        <v>879</v>
      </c>
      <c r="C1566" s="5">
        <v>717</v>
      </c>
    </row>
    <row r="1567" spans="1:3" x14ac:dyDescent="0.25">
      <c r="A1567" s="6"/>
      <c r="C1567" s="3"/>
    </row>
    <row r="1568" spans="1:3" ht="15.75" thickBot="1" x14ac:dyDescent="0.3">
      <c r="A1568" s="5">
        <v>880</v>
      </c>
      <c r="C1568" s="5">
        <v>718</v>
      </c>
    </row>
    <row r="1569" spans="1:3" x14ac:dyDescent="0.25">
      <c r="A1569" s="6"/>
      <c r="C1569" s="3"/>
    </row>
    <row r="1570" spans="1:3" ht="15.75" thickBot="1" x14ac:dyDescent="0.3">
      <c r="A1570" s="5">
        <v>881</v>
      </c>
      <c r="C1570" s="5">
        <v>719</v>
      </c>
    </row>
    <row r="1571" spans="1:3" x14ac:dyDescent="0.25">
      <c r="A1571" s="6"/>
      <c r="C1571" s="3"/>
    </row>
    <row r="1572" spans="1:3" ht="15.75" thickBot="1" x14ac:dyDescent="0.3">
      <c r="A1572" s="5">
        <v>882</v>
      </c>
      <c r="C1572" s="5">
        <v>719</v>
      </c>
    </row>
    <row r="1573" spans="1:3" x14ac:dyDescent="0.25">
      <c r="A1573" s="6"/>
      <c r="C1573" s="3"/>
    </row>
    <row r="1574" spans="1:3" ht="15.75" thickBot="1" x14ac:dyDescent="0.3">
      <c r="A1574" s="5">
        <v>883</v>
      </c>
      <c r="C1574" s="5">
        <v>720</v>
      </c>
    </row>
    <row r="1575" spans="1:3" x14ac:dyDescent="0.25">
      <c r="A1575" s="6"/>
      <c r="C1575" s="3"/>
    </row>
    <row r="1576" spans="1:3" ht="15.75" thickBot="1" x14ac:dyDescent="0.3">
      <c r="A1576" s="5">
        <v>884</v>
      </c>
      <c r="C1576" s="5">
        <v>721</v>
      </c>
    </row>
    <row r="1577" spans="1:3" x14ac:dyDescent="0.25">
      <c r="A1577" s="6"/>
      <c r="C1577" s="3"/>
    </row>
    <row r="1578" spans="1:3" ht="15.75" thickBot="1" x14ac:dyDescent="0.3">
      <c r="A1578" s="5">
        <v>885</v>
      </c>
      <c r="C1578" s="5">
        <v>722</v>
      </c>
    </row>
    <row r="1579" spans="1:3" x14ac:dyDescent="0.25">
      <c r="A1579" s="6"/>
      <c r="C1579" s="3"/>
    </row>
    <row r="1580" spans="1:3" ht="15.75" thickBot="1" x14ac:dyDescent="0.3">
      <c r="A1580" s="5">
        <v>886</v>
      </c>
      <c r="C1580" s="5">
        <v>722</v>
      </c>
    </row>
    <row r="1581" spans="1:3" x14ac:dyDescent="0.25">
      <c r="A1581" s="6"/>
      <c r="C1581" s="3"/>
    </row>
    <row r="1582" spans="1:3" ht="15.75" thickBot="1" x14ac:dyDescent="0.3">
      <c r="A1582" s="5">
        <v>887</v>
      </c>
      <c r="C1582" s="5">
        <v>723</v>
      </c>
    </row>
    <row r="1583" spans="1:3" x14ac:dyDescent="0.25">
      <c r="A1583" s="6"/>
      <c r="C1583" s="3"/>
    </row>
    <row r="1584" spans="1:3" ht="15.75" thickBot="1" x14ac:dyDescent="0.3">
      <c r="A1584" s="5">
        <v>888</v>
      </c>
      <c r="C1584" s="5">
        <v>724</v>
      </c>
    </row>
    <row r="1585" spans="1:3" x14ac:dyDescent="0.25">
      <c r="A1585" s="6"/>
      <c r="C1585" s="3"/>
    </row>
    <row r="1586" spans="1:3" ht="15.75" thickBot="1" x14ac:dyDescent="0.3">
      <c r="A1586" s="5">
        <v>889</v>
      </c>
      <c r="C1586" s="5">
        <v>725</v>
      </c>
    </row>
    <row r="1587" spans="1:3" x14ac:dyDescent="0.25">
      <c r="A1587" s="6"/>
      <c r="C1587" s="3"/>
    </row>
    <row r="1588" spans="1:3" ht="15.75" thickBot="1" x14ac:dyDescent="0.3">
      <c r="A1588" s="5">
        <v>890</v>
      </c>
      <c r="C1588" s="5">
        <v>725</v>
      </c>
    </row>
    <row r="1589" spans="1:3" x14ac:dyDescent="0.25">
      <c r="A1589" s="6"/>
      <c r="C1589" s="3"/>
    </row>
    <row r="1590" spans="1:3" ht="15.75" thickBot="1" x14ac:dyDescent="0.3">
      <c r="A1590" s="5">
        <v>891</v>
      </c>
      <c r="C1590" s="5">
        <v>726</v>
      </c>
    </row>
    <row r="1591" spans="1:3" x14ac:dyDescent="0.25">
      <c r="A1591" s="6"/>
      <c r="C1591" s="3"/>
    </row>
    <row r="1592" spans="1:3" ht="15.75" thickBot="1" x14ac:dyDescent="0.3">
      <c r="A1592" s="5">
        <v>892</v>
      </c>
      <c r="C1592" s="5">
        <v>727</v>
      </c>
    </row>
    <row r="1593" spans="1:3" x14ac:dyDescent="0.25">
      <c r="A1593" s="6"/>
      <c r="C1593" s="3"/>
    </row>
    <row r="1594" spans="1:3" ht="15.75" thickBot="1" x14ac:dyDescent="0.3">
      <c r="A1594" s="5">
        <v>893</v>
      </c>
      <c r="C1594" s="5">
        <v>727</v>
      </c>
    </row>
    <row r="1595" spans="1:3" x14ac:dyDescent="0.25">
      <c r="A1595" s="6"/>
      <c r="C1595" s="3"/>
    </row>
    <row r="1596" spans="1:3" ht="15.75" thickBot="1" x14ac:dyDescent="0.3">
      <c r="A1596" s="5">
        <v>894</v>
      </c>
      <c r="C1596" s="5">
        <v>728</v>
      </c>
    </row>
    <row r="1597" spans="1:3" x14ac:dyDescent="0.25">
      <c r="A1597" s="6"/>
      <c r="C1597" s="3"/>
    </row>
    <row r="1598" spans="1:3" ht="15.75" thickBot="1" x14ac:dyDescent="0.3">
      <c r="A1598" s="5">
        <v>895</v>
      </c>
      <c r="C1598" s="5">
        <v>729</v>
      </c>
    </row>
    <row r="1599" spans="1:3" x14ac:dyDescent="0.25">
      <c r="A1599" s="6"/>
      <c r="C1599" s="3"/>
    </row>
    <row r="1600" spans="1:3" ht="15.75" thickBot="1" x14ac:dyDescent="0.3">
      <c r="A1600" s="5">
        <v>896</v>
      </c>
      <c r="C1600" s="5">
        <v>730</v>
      </c>
    </row>
    <row r="1601" spans="1:3" x14ac:dyDescent="0.25">
      <c r="A1601" s="6"/>
      <c r="C1601" s="3"/>
    </row>
    <row r="1602" spans="1:3" ht="15.75" thickBot="1" x14ac:dyDescent="0.3">
      <c r="A1602" s="5">
        <v>897</v>
      </c>
      <c r="C1602" s="5">
        <v>730</v>
      </c>
    </row>
    <row r="1603" spans="1:3" x14ac:dyDescent="0.25">
      <c r="A1603" s="6"/>
      <c r="C1603" s="3"/>
    </row>
    <row r="1604" spans="1:3" ht="15.75" thickBot="1" x14ac:dyDescent="0.3">
      <c r="A1604" s="5">
        <v>898</v>
      </c>
      <c r="C1604" s="5">
        <v>731</v>
      </c>
    </row>
    <row r="1605" spans="1:3" x14ac:dyDescent="0.25">
      <c r="A1605" s="6"/>
      <c r="C1605" s="3"/>
    </row>
    <row r="1606" spans="1:3" ht="15.75" thickBot="1" x14ac:dyDescent="0.3">
      <c r="A1606" s="5">
        <v>899</v>
      </c>
      <c r="C1606" s="5">
        <v>732</v>
      </c>
    </row>
    <row r="1607" spans="1:3" x14ac:dyDescent="0.25">
      <c r="A1607" s="6"/>
      <c r="C1607" s="3"/>
    </row>
    <row r="1608" spans="1:3" ht="15.75" thickBot="1" x14ac:dyDescent="0.3">
      <c r="A1608" s="5">
        <v>900</v>
      </c>
      <c r="C1608" s="5">
        <v>733</v>
      </c>
    </row>
    <row r="1609" spans="1:3" x14ac:dyDescent="0.25">
      <c r="A1609" s="6"/>
      <c r="C1609" s="3"/>
    </row>
    <row r="1610" spans="1:3" ht="15.75" thickBot="1" x14ac:dyDescent="0.3">
      <c r="A1610" s="5">
        <v>901</v>
      </c>
      <c r="C1610" s="5">
        <v>734</v>
      </c>
    </row>
    <row r="1611" spans="1:3" x14ac:dyDescent="0.25">
      <c r="A1611" s="6"/>
      <c r="C1611" s="3"/>
    </row>
    <row r="1612" spans="1:3" ht="15.75" thickBot="1" x14ac:dyDescent="0.3">
      <c r="A1612" s="5">
        <v>902</v>
      </c>
      <c r="C1612" s="5">
        <v>735</v>
      </c>
    </row>
    <row r="1613" spans="1:3" x14ac:dyDescent="0.25">
      <c r="A1613" s="6"/>
      <c r="C1613" s="3"/>
    </row>
    <row r="1614" spans="1:3" ht="15.75" thickBot="1" x14ac:dyDescent="0.3">
      <c r="A1614" s="5">
        <v>903</v>
      </c>
      <c r="C1614" s="5">
        <v>735</v>
      </c>
    </row>
    <row r="1615" spans="1:3" x14ac:dyDescent="0.25">
      <c r="A1615" s="6"/>
      <c r="C1615" s="3"/>
    </row>
    <row r="1616" spans="1:3" ht="15.75" thickBot="1" x14ac:dyDescent="0.3">
      <c r="A1616" s="5">
        <v>904</v>
      </c>
      <c r="C1616" s="5">
        <v>736</v>
      </c>
    </row>
    <row r="1617" spans="1:3" x14ac:dyDescent="0.25">
      <c r="A1617" s="6"/>
      <c r="C1617" s="3"/>
    </row>
    <row r="1618" spans="1:3" ht="15.75" thickBot="1" x14ac:dyDescent="0.3">
      <c r="A1618" s="5">
        <v>905</v>
      </c>
      <c r="C1618" s="5">
        <v>737</v>
      </c>
    </row>
    <row r="1619" spans="1:3" x14ac:dyDescent="0.25">
      <c r="A1619" s="6"/>
      <c r="C1619" s="3"/>
    </row>
    <row r="1620" spans="1:3" ht="15.75" thickBot="1" x14ac:dyDescent="0.3">
      <c r="A1620" s="5">
        <v>906</v>
      </c>
      <c r="C1620" s="5">
        <v>738</v>
      </c>
    </row>
    <row r="1621" spans="1:3" x14ac:dyDescent="0.25">
      <c r="A1621" s="6"/>
      <c r="C1621" s="3"/>
    </row>
    <row r="1622" spans="1:3" ht="15.75" thickBot="1" x14ac:dyDescent="0.3">
      <c r="A1622" s="5">
        <v>907</v>
      </c>
      <c r="C1622" s="5">
        <v>739</v>
      </c>
    </row>
    <row r="1623" spans="1:3" x14ac:dyDescent="0.25">
      <c r="A1623" s="6"/>
      <c r="C1623" s="3"/>
    </row>
    <row r="1624" spans="1:3" ht="15.75" thickBot="1" x14ac:dyDescent="0.3">
      <c r="A1624" s="5">
        <v>908</v>
      </c>
      <c r="C1624" s="5">
        <v>739</v>
      </c>
    </row>
    <row r="1625" spans="1:3" x14ac:dyDescent="0.25">
      <c r="A1625" s="6"/>
      <c r="C1625" s="3"/>
    </row>
    <row r="1626" spans="1:3" ht="15.75" thickBot="1" x14ac:dyDescent="0.3">
      <c r="A1626" s="5">
        <v>909</v>
      </c>
      <c r="C1626" s="5">
        <v>740</v>
      </c>
    </row>
    <row r="1627" spans="1:3" x14ac:dyDescent="0.25">
      <c r="A1627" s="6"/>
      <c r="C1627" s="3"/>
    </row>
    <row r="1628" spans="1:3" ht="15.75" thickBot="1" x14ac:dyDescent="0.3">
      <c r="A1628" s="5">
        <v>910</v>
      </c>
      <c r="C1628" s="5">
        <v>741</v>
      </c>
    </row>
    <row r="1629" spans="1:3" x14ac:dyDescent="0.25">
      <c r="A1629" s="6"/>
      <c r="C1629" s="3"/>
    </row>
    <row r="1630" spans="1:3" ht="15.75" thickBot="1" x14ac:dyDescent="0.3">
      <c r="A1630" s="5">
        <v>911</v>
      </c>
      <c r="C1630" s="5">
        <v>742</v>
      </c>
    </row>
    <row r="1631" spans="1:3" x14ac:dyDescent="0.25">
      <c r="A1631" s="6"/>
      <c r="C1631" s="3"/>
    </row>
    <row r="1632" spans="1:3" ht="15.75" thickBot="1" x14ac:dyDescent="0.3">
      <c r="A1632" s="5">
        <v>912</v>
      </c>
      <c r="C1632" s="5">
        <v>743</v>
      </c>
    </row>
    <row r="1633" spans="1:3" x14ac:dyDescent="0.25">
      <c r="A1633" s="6"/>
      <c r="C1633" s="3"/>
    </row>
    <row r="1634" spans="1:3" ht="15.75" thickBot="1" x14ac:dyDescent="0.3">
      <c r="A1634" s="5">
        <v>913</v>
      </c>
      <c r="C1634" s="5">
        <v>743</v>
      </c>
    </row>
    <row r="1635" spans="1:3" x14ac:dyDescent="0.25">
      <c r="A1635" s="6"/>
      <c r="C1635" s="3"/>
    </row>
    <row r="1636" spans="1:3" ht="15.75" thickBot="1" x14ac:dyDescent="0.3">
      <c r="A1636" s="5">
        <v>914</v>
      </c>
      <c r="C1636" s="5">
        <v>744</v>
      </c>
    </row>
    <row r="1637" spans="1:3" x14ac:dyDescent="0.25">
      <c r="A1637" s="6"/>
      <c r="C1637" s="3"/>
    </row>
    <row r="1638" spans="1:3" ht="15.75" thickBot="1" x14ac:dyDescent="0.3">
      <c r="A1638" s="5">
        <v>915</v>
      </c>
      <c r="C1638" s="5">
        <v>745</v>
      </c>
    </row>
    <row r="1639" spans="1:3" x14ac:dyDescent="0.25">
      <c r="A1639" s="6"/>
      <c r="C1639" s="3"/>
    </row>
    <row r="1640" spans="1:3" ht="15.75" thickBot="1" x14ac:dyDescent="0.3">
      <c r="A1640" s="5">
        <v>916</v>
      </c>
      <c r="C1640" s="5">
        <v>746</v>
      </c>
    </row>
    <row r="1641" spans="1:3" x14ac:dyDescent="0.25">
      <c r="A1641" s="6"/>
      <c r="C1641" s="3"/>
    </row>
    <row r="1642" spans="1:3" ht="15.75" thickBot="1" x14ac:dyDescent="0.3">
      <c r="A1642" s="5">
        <v>917</v>
      </c>
      <c r="C1642" s="5">
        <v>747</v>
      </c>
    </row>
    <row r="1643" spans="1:3" x14ac:dyDescent="0.25">
      <c r="A1643" s="6"/>
      <c r="C1643" s="3"/>
    </row>
    <row r="1644" spans="1:3" ht="15.75" thickBot="1" x14ac:dyDescent="0.3">
      <c r="A1644" s="5">
        <v>918</v>
      </c>
      <c r="C1644" s="5">
        <v>747</v>
      </c>
    </row>
    <row r="1645" spans="1:3" x14ac:dyDescent="0.25">
      <c r="A1645" s="6"/>
      <c r="C1645" s="3"/>
    </row>
    <row r="1646" spans="1:3" ht="15.75" thickBot="1" x14ac:dyDescent="0.3">
      <c r="A1646" s="5">
        <v>919</v>
      </c>
      <c r="C1646" s="5">
        <v>748</v>
      </c>
    </row>
    <row r="1647" spans="1:3" x14ac:dyDescent="0.25">
      <c r="A1647" s="6"/>
      <c r="C1647" s="3"/>
    </row>
    <row r="1648" spans="1:3" ht="15.75" thickBot="1" x14ac:dyDescent="0.3">
      <c r="A1648" s="5">
        <v>920</v>
      </c>
      <c r="C1648" s="5">
        <v>749</v>
      </c>
    </row>
    <row r="1649" spans="1:3" x14ac:dyDescent="0.25">
      <c r="A1649" s="6"/>
      <c r="C1649" s="3"/>
    </row>
    <row r="1650" spans="1:3" ht="15.75" thickBot="1" x14ac:dyDescent="0.3">
      <c r="A1650" s="5">
        <v>921</v>
      </c>
      <c r="C1650" s="5">
        <v>750</v>
      </c>
    </row>
    <row r="1651" spans="1:3" x14ac:dyDescent="0.25">
      <c r="A1651" s="6"/>
      <c r="C1651" s="3"/>
    </row>
    <row r="1652" spans="1:3" ht="15.75" thickBot="1" x14ac:dyDescent="0.3">
      <c r="A1652" s="5">
        <v>922</v>
      </c>
      <c r="C1652" s="5">
        <v>750</v>
      </c>
    </row>
    <row r="1653" spans="1:3" x14ac:dyDescent="0.25">
      <c r="A1653" s="6"/>
      <c r="C1653" s="3"/>
    </row>
    <row r="1654" spans="1:3" ht="15.75" thickBot="1" x14ac:dyDescent="0.3">
      <c r="A1654" s="5">
        <v>923</v>
      </c>
      <c r="C1654" s="5">
        <v>751</v>
      </c>
    </row>
    <row r="1655" spans="1:3" x14ac:dyDescent="0.25">
      <c r="A1655" s="6"/>
      <c r="C1655" s="3"/>
    </row>
    <row r="1656" spans="1:3" ht="15.75" thickBot="1" x14ac:dyDescent="0.3">
      <c r="A1656" s="5">
        <v>924</v>
      </c>
      <c r="C1656" s="5">
        <v>751</v>
      </c>
    </row>
    <row r="1657" spans="1:3" x14ac:dyDescent="0.25">
      <c r="A1657" s="6"/>
      <c r="C1657" s="3"/>
    </row>
    <row r="1658" spans="1:3" ht="15.75" thickBot="1" x14ac:dyDescent="0.3">
      <c r="A1658" s="5">
        <v>925</v>
      </c>
      <c r="C1658" s="5">
        <v>752</v>
      </c>
    </row>
    <row r="1659" spans="1:3" x14ac:dyDescent="0.25">
      <c r="A1659" s="6"/>
      <c r="C1659" s="3"/>
    </row>
    <row r="1660" spans="1:3" ht="15.75" thickBot="1" x14ac:dyDescent="0.3">
      <c r="A1660" s="5">
        <v>926</v>
      </c>
      <c r="C1660" s="5">
        <v>753</v>
      </c>
    </row>
    <row r="1661" spans="1:3" x14ac:dyDescent="0.25">
      <c r="A1661" s="6"/>
      <c r="C1661" s="3"/>
    </row>
    <row r="1662" spans="1:3" ht="15.75" thickBot="1" x14ac:dyDescent="0.3">
      <c r="A1662" s="5">
        <v>927</v>
      </c>
      <c r="C1662" s="5">
        <v>754</v>
      </c>
    </row>
    <row r="1663" spans="1:3" x14ac:dyDescent="0.25">
      <c r="A1663" s="6"/>
      <c r="C1663" s="3"/>
    </row>
    <row r="1664" spans="1:3" ht="15.75" thickBot="1" x14ac:dyDescent="0.3">
      <c r="A1664" s="5">
        <v>928</v>
      </c>
      <c r="C1664" s="5">
        <v>754</v>
      </c>
    </row>
    <row r="1665" spans="1:3" x14ac:dyDescent="0.25">
      <c r="A1665" s="6"/>
      <c r="C1665" s="3"/>
    </row>
    <row r="1666" spans="1:3" ht="15.75" thickBot="1" x14ac:dyDescent="0.3">
      <c r="A1666" s="5">
        <v>929</v>
      </c>
      <c r="C1666" s="5">
        <v>755</v>
      </c>
    </row>
    <row r="1667" spans="1:3" x14ac:dyDescent="0.25">
      <c r="A1667" s="6"/>
      <c r="C1667" s="3"/>
    </row>
    <row r="1668" spans="1:3" ht="15.75" thickBot="1" x14ac:dyDescent="0.3">
      <c r="A1668" s="5">
        <v>930</v>
      </c>
      <c r="C1668" s="5">
        <v>756</v>
      </c>
    </row>
    <row r="1669" spans="1:3" x14ac:dyDescent="0.25">
      <c r="A1669" s="6"/>
      <c r="C1669" s="3"/>
    </row>
    <row r="1670" spans="1:3" ht="15.75" thickBot="1" x14ac:dyDescent="0.3">
      <c r="A1670" s="5">
        <v>931</v>
      </c>
      <c r="C1670" s="5">
        <v>757</v>
      </c>
    </row>
    <row r="1671" spans="1:3" x14ac:dyDescent="0.25">
      <c r="A1671" s="6"/>
      <c r="C1671" s="3"/>
    </row>
    <row r="1672" spans="1:3" ht="15.75" thickBot="1" x14ac:dyDescent="0.3">
      <c r="A1672" s="5">
        <v>932</v>
      </c>
      <c r="C1672" s="5">
        <v>758</v>
      </c>
    </row>
    <row r="1673" spans="1:3" x14ac:dyDescent="0.25">
      <c r="A1673" s="6"/>
      <c r="C1673" s="3"/>
    </row>
    <row r="1674" spans="1:3" ht="15.75" thickBot="1" x14ac:dyDescent="0.3">
      <c r="A1674" s="5">
        <v>933</v>
      </c>
      <c r="C1674" s="5">
        <v>758</v>
      </c>
    </row>
    <row r="1675" spans="1:3" x14ac:dyDescent="0.25">
      <c r="A1675" s="6"/>
      <c r="C1675" s="3"/>
    </row>
    <row r="1676" spans="1:3" ht="15.75" thickBot="1" x14ac:dyDescent="0.3">
      <c r="A1676" s="5">
        <v>934</v>
      </c>
      <c r="C1676" s="5">
        <v>759</v>
      </c>
    </row>
    <row r="1677" spans="1:3" x14ac:dyDescent="0.25">
      <c r="A1677" s="6"/>
      <c r="C1677" s="3"/>
    </row>
    <row r="1678" spans="1:3" ht="15.75" thickBot="1" x14ac:dyDescent="0.3">
      <c r="A1678" s="5">
        <v>935</v>
      </c>
      <c r="C1678" s="5">
        <v>760</v>
      </c>
    </row>
    <row r="1679" spans="1:3" x14ac:dyDescent="0.25">
      <c r="A1679" s="6"/>
      <c r="C1679" s="3"/>
    </row>
    <row r="1680" spans="1:3" ht="15.75" thickBot="1" x14ac:dyDescent="0.3">
      <c r="A1680" s="5">
        <v>936</v>
      </c>
      <c r="C1680" s="5">
        <v>761</v>
      </c>
    </row>
    <row r="1681" spans="1:3" x14ac:dyDescent="0.25">
      <c r="A1681" s="6"/>
      <c r="C1681" s="3"/>
    </row>
    <row r="1682" spans="1:3" ht="15.75" thickBot="1" x14ac:dyDescent="0.3">
      <c r="A1682" s="5">
        <v>937</v>
      </c>
      <c r="C1682" s="5">
        <v>762</v>
      </c>
    </row>
    <row r="1683" spans="1:3" x14ac:dyDescent="0.25">
      <c r="A1683" s="6"/>
      <c r="C1683" s="3"/>
    </row>
    <row r="1684" spans="1:3" ht="15.75" thickBot="1" x14ac:dyDescent="0.3">
      <c r="A1684" s="5">
        <v>938</v>
      </c>
      <c r="C1684" s="5">
        <v>762</v>
      </c>
    </row>
    <row r="1685" spans="1:3" x14ac:dyDescent="0.25">
      <c r="A1685" s="6"/>
      <c r="C1685" s="3"/>
    </row>
    <row r="1686" spans="1:3" ht="15.75" thickBot="1" x14ac:dyDescent="0.3">
      <c r="A1686" s="5">
        <v>939</v>
      </c>
      <c r="C1686" s="5">
        <v>763</v>
      </c>
    </row>
    <row r="1687" spans="1:3" x14ac:dyDescent="0.25">
      <c r="A1687" s="6"/>
      <c r="C1687" s="3"/>
    </row>
    <row r="1688" spans="1:3" ht="15.75" thickBot="1" x14ac:dyDescent="0.3">
      <c r="A1688" s="5">
        <v>940</v>
      </c>
      <c r="C1688" s="5">
        <v>764</v>
      </c>
    </row>
    <row r="1689" spans="1:3" x14ac:dyDescent="0.25">
      <c r="A1689" s="6"/>
      <c r="C1689" s="3"/>
    </row>
    <row r="1690" spans="1:3" ht="15.75" thickBot="1" x14ac:dyDescent="0.3">
      <c r="A1690" s="5">
        <v>941</v>
      </c>
      <c r="C1690" s="5">
        <v>765</v>
      </c>
    </row>
    <row r="1691" spans="1:3" x14ac:dyDescent="0.25">
      <c r="A1691" s="6"/>
      <c r="C1691" s="3"/>
    </row>
    <row r="1692" spans="1:3" ht="15.75" thickBot="1" x14ac:dyDescent="0.3">
      <c r="A1692" s="5">
        <v>942</v>
      </c>
      <c r="C1692" s="5">
        <v>765</v>
      </c>
    </row>
    <row r="1693" spans="1:3" x14ac:dyDescent="0.25">
      <c r="A1693" s="6"/>
      <c r="C1693" s="3"/>
    </row>
    <row r="1694" spans="1:3" ht="15.75" thickBot="1" x14ac:dyDescent="0.3">
      <c r="A1694" s="5">
        <v>943</v>
      </c>
      <c r="C1694" s="5">
        <v>766</v>
      </c>
    </row>
    <row r="1695" spans="1:3" x14ac:dyDescent="0.25">
      <c r="A1695" s="6"/>
      <c r="C1695" s="3"/>
    </row>
    <row r="1696" spans="1:3" ht="15.75" thickBot="1" x14ac:dyDescent="0.3">
      <c r="A1696" s="5">
        <v>944</v>
      </c>
      <c r="C1696" s="5">
        <v>766</v>
      </c>
    </row>
    <row r="1697" spans="1:3" x14ac:dyDescent="0.25">
      <c r="A1697" s="6"/>
      <c r="C1697" s="3"/>
    </row>
    <row r="1698" spans="1:3" ht="15.75" thickBot="1" x14ac:dyDescent="0.3">
      <c r="A1698" s="5">
        <v>945</v>
      </c>
      <c r="C1698" s="5">
        <v>767</v>
      </c>
    </row>
    <row r="1699" spans="1:3" x14ac:dyDescent="0.25">
      <c r="A1699" s="6"/>
      <c r="C1699" s="3"/>
    </row>
    <row r="1700" spans="1:3" ht="15.75" thickBot="1" x14ac:dyDescent="0.3">
      <c r="A1700" s="5">
        <v>946</v>
      </c>
      <c r="C1700" s="5">
        <v>768</v>
      </c>
    </row>
    <row r="1701" spans="1:3" x14ac:dyDescent="0.25">
      <c r="A1701" s="6"/>
      <c r="C1701" s="3"/>
    </row>
    <row r="1702" spans="1:3" ht="15.75" thickBot="1" x14ac:dyDescent="0.3">
      <c r="A1702" s="5">
        <v>947</v>
      </c>
      <c r="C1702" s="5">
        <v>769</v>
      </c>
    </row>
    <row r="1703" spans="1:3" x14ac:dyDescent="0.25">
      <c r="A1703" s="6"/>
      <c r="C1703" s="3"/>
    </row>
    <row r="1704" spans="1:3" ht="15.75" thickBot="1" x14ac:dyDescent="0.3">
      <c r="A1704" s="5">
        <v>948</v>
      </c>
      <c r="C1704" s="5">
        <v>769</v>
      </c>
    </row>
    <row r="1705" spans="1:3" x14ac:dyDescent="0.25">
      <c r="A1705" s="6"/>
      <c r="C1705" s="3"/>
    </row>
    <row r="1706" spans="1:3" ht="15.75" thickBot="1" x14ac:dyDescent="0.3">
      <c r="A1706" s="5">
        <v>949</v>
      </c>
      <c r="C1706" s="5">
        <v>770</v>
      </c>
    </row>
    <row r="1707" spans="1:3" x14ac:dyDescent="0.25">
      <c r="A1707" s="6"/>
      <c r="C1707" s="3"/>
    </row>
    <row r="1708" spans="1:3" ht="15.75" thickBot="1" x14ac:dyDescent="0.3">
      <c r="A1708" s="5">
        <v>950</v>
      </c>
      <c r="C1708" s="5">
        <v>771</v>
      </c>
    </row>
    <row r="1709" spans="1:3" x14ac:dyDescent="0.25">
      <c r="A1709" s="6"/>
      <c r="C1709" s="3"/>
    </row>
    <row r="1710" spans="1:3" ht="15.75" thickBot="1" x14ac:dyDescent="0.3">
      <c r="A1710" s="5">
        <v>951</v>
      </c>
      <c r="C1710" s="5">
        <v>772</v>
      </c>
    </row>
    <row r="1711" spans="1:3" x14ac:dyDescent="0.25">
      <c r="A1711" s="6"/>
      <c r="C1711" s="3"/>
    </row>
    <row r="1712" spans="1:3" ht="15.75" thickBot="1" x14ac:dyDescent="0.3">
      <c r="A1712" s="5">
        <v>952</v>
      </c>
      <c r="C1712" s="5">
        <v>772</v>
      </c>
    </row>
    <row r="1713" spans="1:3" x14ac:dyDescent="0.25">
      <c r="A1713" s="6"/>
      <c r="C1713" s="3"/>
    </row>
    <row r="1714" spans="1:3" ht="15.75" thickBot="1" x14ac:dyDescent="0.3">
      <c r="A1714" s="5">
        <v>953</v>
      </c>
      <c r="C1714" s="5">
        <v>773</v>
      </c>
    </row>
    <row r="1715" spans="1:3" x14ac:dyDescent="0.25">
      <c r="A1715" s="6"/>
      <c r="C1715" s="3"/>
    </row>
    <row r="1716" spans="1:3" ht="15.75" thickBot="1" x14ac:dyDescent="0.3">
      <c r="A1716" s="5">
        <v>954</v>
      </c>
      <c r="C1716" s="5">
        <v>773</v>
      </c>
    </row>
    <row r="1717" spans="1:3" x14ac:dyDescent="0.25">
      <c r="A1717" s="6"/>
      <c r="C1717" s="3"/>
    </row>
    <row r="1718" spans="1:3" ht="15.75" thickBot="1" x14ac:dyDescent="0.3">
      <c r="A1718" s="5">
        <v>955</v>
      </c>
      <c r="C1718" s="5">
        <v>774</v>
      </c>
    </row>
    <row r="1719" spans="1:3" x14ac:dyDescent="0.25">
      <c r="A1719" s="6"/>
      <c r="C1719" s="3"/>
    </row>
    <row r="1720" spans="1:3" ht="15.75" thickBot="1" x14ac:dyDescent="0.3">
      <c r="A1720" s="5">
        <v>956</v>
      </c>
      <c r="C1720" s="5">
        <v>775</v>
      </c>
    </row>
    <row r="1721" spans="1:3" x14ac:dyDescent="0.25">
      <c r="A1721" s="6"/>
      <c r="C1721" s="3"/>
    </row>
    <row r="1722" spans="1:3" ht="15.75" thickBot="1" x14ac:dyDescent="0.3">
      <c r="A1722" s="5">
        <v>957</v>
      </c>
      <c r="C1722" s="5">
        <v>776</v>
      </c>
    </row>
    <row r="1723" spans="1:3" x14ac:dyDescent="0.25">
      <c r="A1723" s="6"/>
      <c r="C1723" s="3"/>
    </row>
    <row r="1724" spans="1:3" ht="15.75" thickBot="1" x14ac:dyDescent="0.3">
      <c r="A1724" s="5">
        <v>958</v>
      </c>
      <c r="C1724" s="5">
        <v>776</v>
      </c>
    </row>
    <row r="1725" spans="1:3" x14ac:dyDescent="0.25">
      <c r="A1725" s="6"/>
      <c r="C1725" s="3"/>
    </row>
    <row r="1726" spans="1:3" ht="15.75" thickBot="1" x14ac:dyDescent="0.3">
      <c r="A1726" s="5">
        <v>959</v>
      </c>
      <c r="C1726" s="5">
        <v>777</v>
      </c>
    </row>
    <row r="1727" spans="1:3" x14ac:dyDescent="0.25">
      <c r="A1727" s="6"/>
      <c r="C1727" s="3"/>
    </row>
    <row r="1728" spans="1:3" ht="15.75" thickBot="1" x14ac:dyDescent="0.3">
      <c r="A1728" s="5">
        <v>960</v>
      </c>
      <c r="C1728" s="5">
        <v>778</v>
      </c>
    </row>
    <row r="1729" spans="1:3" x14ac:dyDescent="0.25">
      <c r="A1729" s="6"/>
      <c r="C1729" s="3"/>
    </row>
    <row r="1730" spans="1:3" ht="15.75" thickBot="1" x14ac:dyDescent="0.3">
      <c r="A1730" s="5">
        <v>961</v>
      </c>
      <c r="C1730" s="5">
        <v>779</v>
      </c>
    </row>
    <row r="1731" spans="1:3" x14ac:dyDescent="0.25">
      <c r="A1731" s="6"/>
      <c r="C1731" s="3"/>
    </row>
    <row r="1732" spans="1:3" ht="15.75" thickBot="1" x14ac:dyDescent="0.3">
      <c r="A1732" s="5">
        <v>962</v>
      </c>
      <c r="C1732" s="5">
        <v>780</v>
      </c>
    </row>
    <row r="1733" spans="1:3" x14ac:dyDescent="0.25">
      <c r="A1733" s="6"/>
      <c r="C1733" s="3"/>
    </row>
    <row r="1734" spans="1:3" ht="15.75" thickBot="1" x14ac:dyDescent="0.3">
      <c r="A1734" s="5">
        <v>963</v>
      </c>
      <c r="C1734" s="5">
        <v>780</v>
      </c>
    </row>
    <row r="1735" spans="1:3" x14ac:dyDescent="0.25">
      <c r="A1735" s="6"/>
      <c r="C1735" s="3"/>
    </row>
    <row r="1736" spans="1:3" ht="15.75" thickBot="1" x14ac:dyDescent="0.3">
      <c r="A1736" s="5">
        <v>964</v>
      </c>
      <c r="C1736" s="5">
        <v>781</v>
      </c>
    </row>
    <row r="1737" spans="1:3" x14ac:dyDescent="0.25">
      <c r="A1737" s="6"/>
      <c r="C1737" s="3"/>
    </row>
    <row r="1738" spans="1:3" ht="15.75" thickBot="1" x14ac:dyDescent="0.3">
      <c r="A1738" s="5">
        <v>965</v>
      </c>
      <c r="C1738" s="5">
        <v>782</v>
      </c>
    </row>
    <row r="1739" spans="1:3" x14ac:dyDescent="0.25">
      <c r="A1739" s="6"/>
      <c r="C1739" s="3"/>
    </row>
    <row r="1740" spans="1:3" ht="15.75" thickBot="1" x14ac:dyDescent="0.3">
      <c r="A1740" s="5">
        <v>966</v>
      </c>
      <c r="C1740" s="5">
        <v>783</v>
      </c>
    </row>
    <row r="1741" spans="1:3" x14ac:dyDescent="0.25">
      <c r="A1741" s="6"/>
      <c r="C1741" s="3"/>
    </row>
    <row r="1742" spans="1:3" ht="15.75" thickBot="1" x14ac:dyDescent="0.3">
      <c r="A1742" s="5">
        <v>967</v>
      </c>
      <c r="C1742" s="5">
        <v>784</v>
      </c>
    </row>
    <row r="1743" spans="1:3" x14ac:dyDescent="0.25">
      <c r="A1743" s="6"/>
      <c r="C1743" s="3"/>
    </row>
    <row r="1744" spans="1:3" ht="15.75" thickBot="1" x14ac:dyDescent="0.3">
      <c r="A1744" s="5">
        <v>968</v>
      </c>
      <c r="C1744" s="5">
        <v>784</v>
      </c>
    </row>
    <row r="1745" spans="1:3" x14ac:dyDescent="0.25">
      <c r="A1745" s="6"/>
      <c r="C1745" s="3"/>
    </row>
    <row r="1746" spans="1:3" ht="15.75" thickBot="1" x14ac:dyDescent="0.3">
      <c r="A1746" s="5">
        <v>969</v>
      </c>
      <c r="C1746" s="5">
        <v>785</v>
      </c>
    </row>
    <row r="1747" spans="1:3" x14ac:dyDescent="0.25">
      <c r="A1747" s="6"/>
      <c r="C1747" s="3"/>
    </row>
    <row r="1748" spans="1:3" ht="15.75" thickBot="1" x14ac:dyDescent="0.3">
      <c r="A1748" s="5">
        <v>970</v>
      </c>
      <c r="C1748" s="5">
        <v>786</v>
      </c>
    </row>
    <row r="1749" spans="1:3" x14ac:dyDescent="0.25">
      <c r="A1749" s="6"/>
      <c r="C1749" s="3"/>
    </row>
    <row r="1750" spans="1:3" ht="15.75" thickBot="1" x14ac:dyDescent="0.3">
      <c r="A1750" s="5">
        <v>971</v>
      </c>
      <c r="C1750" s="5">
        <v>787</v>
      </c>
    </row>
    <row r="1751" spans="1:3" x14ac:dyDescent="0.25">
      <c r="A1751" s="6"/>
      <c r="C1751" s="3"/>
    </row>
    <row r="1752" spans="1:3" ht="15.75" thickBot="1" x14ac:dyDescent="0.3">
      <c r="A1752" s="5">
        <v>972</v>
      </c>
      <c r="C1752" s="5">
        <v>788</v>
      </c>
    </row>
    <row r="1753" spans="1:3" x14ac:dyDescent="0.25">
      <c r="A1753" s="6"/>
      <c r="C1753" s="3"/>
    </row>
    <row r="1754" spans="1:3" ht="15.75" thickBot="1" x14ac:dyDescent="0.3">
      <c r="A1754" s="5">
        <v>973</v>
      </c>
      <c r="C1754" s="5">
        <v>788</v>
      </c>
    </row>
    <row r="1755" spans="1:3" x14ac:dyDescent="0.25">
      <c r="A1755" s="6"/>
      <c r="C1755" s="3"/>
    </row>
    <row r="1756" spans="1:3" ht="15.75" thickBot="1" x14ac:dyDescent="0.3">
      <c r="A1756" s="5">
        <v>974</v>
      </c>
      <c r="C1756" s="5">
        <v>789</v>
      </c>
    </row>
    <row r="1757" spans="1:3" x14ac:dyDescent="0.25">
      <c r="A1757" s="6"/>
      <c r="C1757" s="3"/>
    </row>
    <row r="1758" spans="1:3" ht="15.75" thickBot="1" x14ac:dyDescent="0.3">
      <c r="A1758" s="5">
        <v>975</v>
      </c>
      <c r="C1758" s="5">
        <v>790</v>
      </c>
    </row>
    <row r="1759" spans="1:3" x14ac:dyDescent="0.25">
      <c r="A1759" s="6"/>
      <c r="C1759" s="3"/>
    </row>
    <row r="1760" spans="1:3" ht="15.75" thickBot="1" x14ac:dyDescent="0.3">
      <c r="A1760" s="5">
        <v>976</v>
      </c>
      <c r="C1760" s="5">
        <v>791</v>
      </c>
    </row>
    <row r="1761" spans="1:3" x14ac:dyDescent="0.25">
      <c r="A1761" s="6"/>
      <c r="C1761" s="3"/>
    </row>
    <row r="1762" spans="1:3" ht="15.75" thickBot="1" x14ac:dyDescent="0.3">
      <c r="A1762" s="5">
        <v>977</v>
      </c>
      <c r="C1762" s="5">
        <v>792</v>
      </c>
    </row>
    <row r="1763" spans="1:3" x14ac:dyDescent="0.25">
      <c r="A1763" s="6"/>
      <c r="C1763" s="3"/>
    </row>
    <row r="1764" spans="1:3" ht="15.75" thickBot="1" x14ac:dyDescent="0.3">
      <c r="A1764" s="5">
        <v>978</v>
      </c>
      <c r="C1764" s="5">
        <v>792</v>
      </c>
    </row>
    <row r="1765" spans="1:3" x14ac:dyDescent="0.25">
      <c r="A1765" s="6"/>
      <c r="C1765" s="3"/>
    </row>
    <row r="1766" spans="1:3" ht="15.75" thickBot="1" x14ac:dyDescent="0.3">
      <c r="A1766" s="5">
        <v>979</v>
      </c>
      <c r="C1766" s="5">
        <v>793</v>
      </c>
    </row>
    <row r="1767" spans="1:3" x14ac:dyDescent="0.25">
      <c r="A1767" s="6"/>
      <c r="C1767" s="3"/>
    </row>
    <row r="1768" spans="1:3" ht="15.75" thickBot="1" x14ac:dyDescent="0.3">
      <c r="A1768" s="5">
        <v>980</v>
      </c>
      <c r="C1768" s="5">
        <v>794</v>
      </c>
    </row>
    <row r="1769" spans="1:3" x14ac:dyDescent="0.25">
      <c r="A1769" s="6"/>
      <c r="C1769" s="3"/>
    </row>
    <row r="1770" spans="1:3" ht="15.75" thickBot="1" x14ac:dyDescent="0.3">
      <c r="A1770" s="5">
        <v>981</v>
      </c>
      <c r="C1770" s="5">
        <v>795</v>
      </c>
    </row>
    <row r="1771" spans="1:3" x14ac:dyDescent="0.25">
      <c r="A1771" s="6"/>
      <c r="C1771" s="3"/>
    </row>
    <row r="1772" spans="1:3" ht="15.75" thickBot="1" x14ac:dyDescent="0.3">
      <c r="A1772" s="5">
        <v>982</v>
      </c>
      <c r="C1772" s="5">
        <v>796</v>
      </c>
    </row>
    <row r="1773" spans="1:3" x14ac:dyDescent="0.25">
      <c r="A1773" s="6"/>
      <c r="C1773" s="3"/>
    </row>
    <row r="1774" spans="1:3" ht="15.75" thickBot="1" x14ac:dyDescent="0.3">
      <c r="A1774" s="5">
        <v>983</v>
      </c>
      <c r="C1774" s="5">
        <v>796</v>
      </c>
    </row>
    <row r="1775" spans="1:3" x14ac:dyDescent="0.25">
      <c r="A1775" s="6"/>
      <c r="C1775" s="3"/>
    </row>
    <row r="1776" spans="1:3" ht="15.75" thickBot="1" x14ac:dyDescent="0.3">
      <c r="A1776" s="5">
        <v>984</v>
      </c>
      <c r="C1776" s="5">
        <v>797</v>
      </c>
    </row>
    <row r="1777" spans="1:3" x14ac:dyDescent="0.25">
      <c r="A1777" s="6"/>
      <c r="C1777" s="3"/>
    </row>
    <row r="1778" spans="1:3" ht="15.75" thickBot="1" x14ac:dyDescent="0.3">
      <c r="A1778" s="5">
        <v>985</v>
      </c>
      <c r="C1778" s="5">
        <v>798</v>
      </c>
    </row>
    <row r="1779" spans="1:3" x14ac:dyDescent="0.25">
      <c r="A1779" s="6"/>
      <c r="C1779" s="3"/>
    </row>
    <row r="1780" spans="1:3" ht="15.75" thickBot="1" x14ac:dyDescent="0.3">
      <c r="A1780" s="5">
        <v>986</v>
      </c>
      <c r="C1780" s="5">
        <v>799</v>
      </c>
    </row>
    <row r="1781" spans="1:3" x14ac:dyDescent="0.25">
      <c r="A1781" s="6"/>
      <c r="C1781" s="3"/>
    </row>
    <row r="1782" spans="1:3" ht="15.75" thickBot="1" x14ac:dyDescent="0.3">
      <c r="A1782" s="5">
        <v>987</v>
      </c>
      <c r="C1782" s="5">
        <v>800</v>
      </c>
    </row>
    <row r="1783" spans="1:3" x14ac:dyDescent="0.25">
      <c r="A1783" s="6"/>
      <c r="C1783" s="3"/>
    </row>
    <row r="1784" spans="1:3" ht="15.75" thickBot="1" x14ac:dyDescent="0.3">
      <c r="A1784" s="5">
        <v>988</v>
      </c>
      <c r="C1784" s="5">
        <v>800</v>
      </c>
    </row>
    <row r="1785" spans="1:3" x14ac:dyDescent="0.25">
      <c r="A1785" s="6"/>
      <c r="C1785" s="3"/>
    </row>
    <row r="1786" spans="1:3" ht="15.75" thickBot="1" x14ac:dyDescent="0.3">
      <c r="A1786" s="5">
        <v>989</v>
      </c>
      <c r="C1786" s="5">
        <v>801</v>
      </c>
    </row>
    <row r="1787" spans="1:3" x14ac:dyDescent="0.25">
      <c r="A1787" s="6"/>
      <c r="C1787" s="3"/>
    </row>
    <row r="1788" spans="1:3" ht="15.75" thickBot="1" x14ac:dyDescent="0.3">
      <c r="A1788" s="5">
        <v>990</v>
      </c>
      <c r="C1788" s="5">
        <v>802</v>
      </c>
    </row>
    <row r="1789" spans="1:3" x14ac:dyDescent="0.25">
      <c r="A1789" s="6"/>
      <c r="C1789" s="3"/>
    </row>
    <row r="1790" spans="1:3" ht="15.75" thickBot="1" x14ac:dyDescent="0.3">
      <c r="A1790" s="5">
        <v>991</v>
      </c>
      <c r="C1790" s="5">
        <v>803</v>
      </c>
    </row>
    <row r="1791" spans="1:3" x14ac:dyDescent="0.25">
      <c r="A1791" s="6"/>
      <c r="C1791" s="3"/>
    </row>
    <row r="1792" spans="1:3" ht="15.75" thickBot="1" x14ac:dyDescent="0.3">
      <c r="A1792" s="5">
        <v>992</v>
      </c>
      <c r="C1792" s="5">
        <v>804</v>
      </c>
    </row>
    <row r="1793" spans="1:3" x14ac:dyDescent="0.25">
      <c r="A1793" s="6"/>
      <c r="C1793" s="3"/>
    </row>
    <row r="1794" spans="1:3" ht="15.75" thickBot="1" x14ac:dyDescent="0.3">
      <c r="A1794" s="5">
        <v>993</v>
      </c>
      <c r="C1794" s="5">
        <v>804</v>
      </c>
    </row>
    <row r="1795" spans="1:3" x14ac:dyDescent="0.25">
      <c r="A1795" s="6"/>
      <c r="C1795" s="3"/>
    </row>
    <row r="1796" spans="1:3" ht="15.75" thickBot="1" x14ac:dyDescent="0.3">
      <c r="A1796" s="5">
        <v>994</v>
      </c>
      <c r="C1796" s="5">
        <v>805</v>
      </c>
    </row>
    <row r="1797" spans="1:3" x14ac:dyDescent="0.25">
      <c r="A1797" s="6"/>
      <c r="C1797" s="3"/>
    </row>
    <row r="1798" spans="1:3" ht="15.75" thickBot="1" x14ac:dyDescent="0.3">
      <c r="A1798" s="5">
        <v>995</v>
      </c>
      <c r="C1798" s="5">
        <v>806</v>
      </c>
    </row>
    <row r="1799" spans="1:3" x14ac:dyDescent="0.25">
      <c r="A1799" s="6"/>
      <c r="C1799" s="3"/>
    </row>
    <row r="1800" spans="1:3" ht="15.75" thickBot="1" x14ac:dyDescent="0.3">
      <c r="A1800" s="5">
        <v>996</v>
      </c>
      <c r="C1800" s="5">
        <v>807</v>
      </c>
    </row>
    <row r="1801" spans="1:3" x14ac:dyDescent="0.25">
      <c r="A1801" s="6"/>
      <c r="C1801" s="3"/>
    </row>
    <row r="1802" spans="1:3" ht="15.75" thickBot="1" x14ac:dyDescent="0.3">
      <c r="A1802" s="5">
        <v>997</v>
      </c>
      <c r="C1802" s="5">
        <v>807</v>
      </c>
    </row>
    <row r="1803" spans="1:3" x14ac:dyDescent="0.25">
      <c r="A1803" s="6"/>
      <c r="C1803" s="3"/>
    </row>
    <row r="1804" spans="1:3" ht="15.75" thickBot="1" x14ac:dyDescent="0.3">
      <c r="A1804" s="5">
        <v>998</v>
      </c>
      <c r="C1804" s="5">
        <v>808</v>
      </c>
    </row>
    <row r="1805" spans="1:3" x14ac:dyDescent="0.25">
      <c r="A1805" s="6"/>
      <c r="C1805" s="3"/>
    </row>
    <row r="1806" spans="1:3" ht="15.75" thickBot="1" x14ac:dyDescent="0.3">
      <c r="A1806" s="5">
        <v>999</v>
      </c>
      <c r="C1806" s="5">
        <v>808</v>
      </c>
    </row>
    <row r="1807" spans="1:3" x14ac:dyDescent="0.25">
      <c r="A1807" s="6"/>
      <c r="C1807" s="3"/>
    </row>
    <row r="1808" spans="1:3" ht="15.75" thickBot="1" x14ac:dyDescent="0.3">
      <c r="A1808" s="5">
        <v>1000</v>
      </c>
      <c r="C1808" s="5">
        <v>809</v>
      </c>
    </row>
    <row r="1809" spans="1:3" x14ac:dyDescent="0.25">
      <c r="A1809" s="6"/>
      <c r="C1809" s="3"/>
    </row>
    <row r="1810" spans="1:3" ht="15.75" thickBot="1" x14ac:dyDescent="0.3">
      <c r="A1810" s="5">
        <v>1001</v>
      </c>
      <c r="C1810" s="5">
        <v>810</v>
      </c>
    </row>
    <row r="1811" spans="1:3" x14ac:dyDescent="0.25">
      <c r="A1811" s="6"/>
      <c r="C1811" s="3"/>
    </row>
    <row r="1812" spans="1:3" ht="15.75" thickBot="1" x14ac:dyDescent="0.3">
      <c r="A1812" s="5">
        <v>1002</v>
      </c>
      <c r="C1812" s="5">
        <v>811</v>
      </c>
    </row>
    <row r="1813" spans="1:3" x14ac:dyDescent="0.25">
      <c r="A1813" s="6"/>
      <c r="C1813" s="3"/>
    </row>
    <row r="1814" spans="1:3" ht="15.75" thickBot="1" x14ac:dyDescent="0.3">
      <c r="A1814" s="5">
        <v>1003</v>
      </c>
      <c r="C1814" s="5">
        <v>811</v>
      </c>
    </row>
    <row r="1815" spans="1:3" x14ac:dyDescent="0.25">
      <c r="A1815" s="6"/>
      <c r="C1815" s="3"/>
    </row>
    <row r="1816" spans="1:3" ht="15.75" thickBot="1" x14ac:dyDescent="0.3">
      <c r="A1816" s="5">
        <v>1004</v>
      </c>
      <c r="C1816" s="5">
        <v>812</v>
      </c>
    </row>
    <row r="1817" spans="1:3" x14ac:dyDescent="0.25">
      <c r="A1817" s="6"/>
      <c r="C1817" s="3"/>
    </row>
    <row r="1818" spans="1:3" ht="15.75" thickBot="1" x14ac:dyDescent="0.3">
      <c r="A1818" s="5">
        <v>1005</v>
      </c>
      <c r="C1818" s="5">
        <v>813</v>
      </c>
    </row>
    <row r="1819" spans="1:3" x14ac:dyDescent="0.25">
      <c r="A1819" s="6"/>
      <c r="C1819" s="3"/>
    </row>
    <row r="1820" spans="1:3" ht="15.75" thickBot="1" x14ac:dyDescent="0.3">
      <c r="A1820" s="5">
        <v>1006</v>
      </c>
      <c r="C1820" s="5">
        <v>814</v>
      </c>
    </row>
    <row r="1821" spans="1:3" x14ac:dyDescent="0.25">
      <c r="A1821" s="6"/>
      <c r="C1821" s="3"/>
    </row>
    <row r="1822" spans="1:3" ht="15.75" thickBot="1" x14ac:dyDescent="0.3">
      <c r="A1822" s="5">
        <v>1007</v>
      </c>
      <c r="C1822" s="5">
        <v>814</v>
      </c>
    </row>
    <row r="1823" spans="1:3" x14ac:dyDescent="0.25">
      <c r="A1823" s="6"/>
      <c r="C1823" s="3"/>
    </row>
    <row r="1824" spans="1:3" ht="15.75" thickBot="1" x14ac:dyDescent="0.3">
      <c r="A1824" s="5">
        <v>1008</v>
      </c>
      <c r="C1824" s="5">
        <v>815</v>
      </c>
    </row>
    <row r="1825" spans="1:3" x14ac:dyDescent="0.25">
      <c r="A1825" s="6"/>
      <c r="C1825" s="3"/>
    </row>
    <row r="1826" spans="1:3" ht="15.75" thickBot="1" x14ac:dyDescent="0.3">
      <c r="A1826" s="5">
        <v>1009</v>
      </c>
      <c r="C1826" s="5">
        <v>816</v>
      </c>
    </row>
    <row r="1827" spans="1:3" x14ac:dyDescent="0.25">
      <c r="A1827" s="6"/>
      <c r="C1827" s="3"/>
    </row>
    <row r="1828" spans="1:3" ht="15.75" thickBot="1" x14ac:dyDescent="0.3">
      <c r="A1828" s="5">
        <v>1010</v>
      </c>
      <c r="C1828" s="5">
        <v>817</v>
      </c>
    </row>
    <row r="1829" spans="1:3" x14ac:dyDescent="0.25">
      <c r="A1829" s="6"/>
      <c r="C1829" s="3"/>
    </row>
    <row r="1830" spans="1:3" ht="15.75" thickBot="1" x14ac:dyDescent="0.3">
      <c r="A1830" s="5">
        <v>1011</v>
      </c>
      <c r="C1830" s="5">
        <v>817</v>
      </c>
    </row>
    <row r="1831" spans="1:3" x14ac:dyDescent="0.25">
      <c r="A1831" s="6"/>
      <c r="C1831" s="3"/>
    </row>
    <row r="1832" spans="1:3" ht="15.75" thickBot="1" x14ac:dyDescent="0.3">
      <c r="A1832" s="5">
        <v>1012</v>
      </c>
      <c r="C1832" s="5">
        <v>818</v>
      </c>
    </row>
    <row r="1833" spans="1:3" x14ac:dyDescent="0.25">
      <c r="A1833" s="6"/>
      <c r="C1833" s="3"/>
    </row>
    <row r="1834" spans="1:3" ht="15.75" thickBot="1" x14ac:dyDescent="0.3">
      <c r="A1834" s="5">
        <v>1013</v>
      </c>
      <c r="C1834" s="5">
        <v>819</v>
      </c>
    </row>
    <row r="1835" spans="1:3" x14ac:dyDescent="0.25">
      <c r="A1835" s="6"/>
      <c r="C1835" s="3"/>
    </row>
    <row r="1836" spans="1:3" ht="15.75" thickBot="1" x14ac:dyDescent="0.3">
      <c r="A1836" s="5">
        <v>1014</v>
      </c>
      <c r="C1836" s="5">
        <v>820</v>
      </c>
    </row>
    <row r="1837" spans="1:3" x14ac:dyDescent="0.25">
      <c r="A1837" s="6"/>
      <c r="C1837" s="3"/>
    </row>
    <row r="1838" spans="1:3" ht="15.75" thickBot="1" x14ac:dyDescent="0.3">
      <c r="A1838" s="5">
        <v>1015</v>
      </c>
      <c r="C1838" s="5">
        <v>821</v>
      </c>
    </row>
    <row r="1839" spans="1:3" x14ac:dyDescent="0.25">
      <c r="A1839" s="24"/>
      <c r="B1839" s="24"/>
      <c r="C1839" s="24"/>
    </row>
    <row r="1844" spans="1:5" x14ac:dyDescent="0.25">
      <c r="E1844" s="12"/>
    </row>
    <row r="1848" spans="1:5" x14ac:dyDescent="0.25">
      <c r="A1848" s="25" t="s">
        <v>18</v>
      </c>
      <c r="B1848" s="25"/>
      <c r="C1848" s="26">
        <f>G16</f>
        <v>880.99966187749237</v>
      </c>
      <c r="D1848" s="27"/>
    </row>
    <row r="1849" spans="1:5" x14ac:dyDescent="0.25">
      <c r="A1849" s="25" t="s">
        <v>19</v>
      </c>
      <c r="B1849" s="25"/>
      <c r="C1849" s="26">
        <f>H16</f>
        <v>915.99981394317047</v>
      </c>
      <c r="D1849" s="27"/>
    </row>
    <row r="1850" spans="1:5" x14ac:dyDescent="0.25">
      <c r="A1850" s="25" t="s">
        <v>20</v>
      </c>
      <c r="B1850" s="25"/>
      <c r="C1850" s="26">
        <f>I16</f>
        <v>962.99973701582735</v>
      </c>
      <c r="D1850" s="27"/>
    </row>
    <row r="1851" spans="1:5" x14ac:dyDescent="0.25">
      <c r="A1851" s="25" t="s">
        <v>21</v>
      </c>
      <c r="B1851" s="25"/>
      <c r="C1851" s="26">
        <f>G17</f>
        <v>962.99973701582735</v>
      </c>
      <c r="D1851" s="27"/>
    </row>
    <row r="1852" spans="1:5" x14ac:dyDescent="0.25">
      <c r="A1852" s="25" t="s">
        <v>22</v>
      </c>
      <c r="B1852" s="25"/>
      <c r="C1852" s="26">
        <f>H17</f>
        <v>1003.9995062337983</v>
      </c>
      <c r="D1852" s="27"/>
    </row>
    <row r="1853" spans="1:5" x14ac:dyDescent="0.25">
      <c r="A1853" s="25" t="s">
        <v>23</v>
      </c>
      <c r="B1853" s="25"/>
      <c r="C1853" s="26">
        <f>I17</f>
        <v>1057.9996386203886</v>
      </c>
      <c r="D1853" s="27"/>
    </row>
    <row r="1854" spans="1:5" x14ac:dyDescent="0.25">
      <c r="A1854" s="28" t="s">
        <v>24</v>
      </c>
      <c r="B1854" s="24"/>
      <c r="C1854" s="26">
        <f>G18</f>
        <v>1057.9996386203886</v>
      </c>
      <c r="D1854" s="27"/>
    </row>
    <row r="1855" spans="1:5" x14ac:dyDescent="0.25">
      <c r="A1855" s="28" t="s">
        <v>25</v>
      </c>
      <c r="B1855" s="24"/>
      <c r="C1855" s="26">
        <f>H18</f>
        <v>1085.9995813721334</v>
      </c>
      <c r="D1855" s="27"/>
    </row>
    <row r="1856" spans="1:5" x14ac:dyDescent="0.25">
      <c r="A1856" s="28" t="s">
        <v>26</v>
      </c>
      <c r="B1856" s="24"/>
      <c r="C1856" s="26">
        <f>I18</f>
        <v>1114.9995795831253</v>
      </c>
      <c r="D1856" s="27"/>
    </row>
    <row r="1857" spans="1:4" x14ac:dyDescent="0.25">
      <c r="A1857" s="28" t="s">
        <v>27</v>
      </c>
      <c r="B1857" s="24"/>
      <c r="C1857" s="26">
        <f>G19</f>
        <v>1114.9995795831253</v>
      </c>
      <c r="D1857" s="27"/>
    </row>
    <row r="1858" spans="1:4" x14ac:dyDescent="0.25">
      <c r="A1858" s="28" t="s">
        <v>28</v>
      </c>
      <c r="B1858" s="24"/>
      <c r="C1858" s="26">
        <f>H19</f>
        <v>1138.9996582994766</v>
      </c>
      <c r="D1858" s="27"/>
    </row>
    <row r="1859" spans="1:4" x14ac:dyDescent="0.25">
      <c r="A1859" s="28" t="s">
        <v>29</v>
      </c>
      <c r="B1859" s="24"/>
      <c r="C1859" s="26">
        <f>I19</f>
        <v>1163.999613574277</v>
      </c>
      <c r="D1859" s="27"/>
    </row>
    <row r="1860" spans="1:4" x14ac:dyDescent="0.25">
      <c r="A1860" s="28" t="s">
        <v>30</v>
      </c>
      <c r="B1860" s="24"/>
      <c r="C1860" s="26">
        <f>G20</f>
        <v>1163.999613574277</v>
      </c>
      <c r="D1860" s="27"/>
    </row>
    <row r="1861" spans="1:4" x14ac:dyDescent="0.25">
      <c r="A1861" s="28" t="s">
        <v>31</v>
      </c>
      <c r="B1861" s="24"/>
      <c r="C1861" s="26">
        <f>H20</f>
        <v>1216.9995116008224</v>
      </c>
      <c r="D1861" s="27"/>
    </row>
    <row r="1862" spans="1:4" x14ac:dyDescent="0.25">
      <c r="A1862" s="28" t="s">
        <v>32</v>
      </c>
      <c r="B1862" s="24"/>
      <c r="C1862" s="26">
        <f>I20</f>
        <v>1269.9995885281653</v>
      </c>
      <c r="D1862" s="27"/>
    </row>
    <row r="1863" spans="1:4" x14ac:dyDescent="0.25">
      <c r="A1863" s="28" t="s">
        <v>33</v>
      </c>
      <c r="B1863" s="24"/>
      <c r="C1863" s="26">
        <f>G21</f>
        <v>1269.9995885281653</v>
      </c>
      <c r="D1863" s="27"/>
    </row>
    <row r="1864" spans="1:4" x14ac:dyDescent="0.25">
      <c r="A1864" s="28" t="s">
        <v>34</v>
      </c>
      <c r="B1864" s="24"/>
      <c r="C1864" s="26">
        <f>H21</f>
        <v>1319.9994990777666</v>
      </c>
      <c r="D1864" s="27"/>
    </row>
    <row r="1865" spans="1:4" x14ac:dyDescent="0.25">
      <c r="A1865" s="28" t="s">
        <v>16</v>
      </c>
      <c r="B1865" s="24"/>
      <c r="C1865" s="26">
        <f>G22</f>
        <v>1368.999533068918</v>
      </c>
      <c r="D1865" s="27"/>
    </row>
    <row r="1866" spans="1:4" x14ac:dyDescent="0.25">
      <c r="A1866" s="28" t="s">
        <v>17</v>
      </c>
      <c r="B1866" s="24"/>
      <c r="C1866" s="26">
        <f>G23</f>
        <v>1500.9993398560566</v>
      </c>
      <c r="D1866" s="27"/>
    </row>
  </sheetData>
  <sheetProtection password="EB30" sheet="1" objects="1" scenarios="1" selectLockedCells="1"/>
  <mergeCells count="24">
    <mergeCell ref="M29:M30"/>
    <mergeCell ref="N29:N30"/>
    <mergeCell ref="O29:O30"/>
    <mergeCell ref="N25:N26"/>
    <mergeCell ref="O25:O26"/>
    <mergeCell ref="M27:M28"/>
    <mergeCell ref="N27:N28"/>
    <mergeCell ref="O27:O28"/>
    <mergeCell ref="O15:O16"/>
    <mergeCell ref="O17:O18"/>
    <mergeCell ref="O19:O20"/>
    <mergeCell ref="O21:O22"/>
    <mergeCell ref="O23:O24"/>
    <mergeCell ref="N3:O3"/>
    <mergeCell ref="N1:P1"/>
    <mergeCell ref="G14:I14"/>
    <mergeCell ref="L7:M7"/>
    <mergeCell ref="K8:N8"/>
    <mergeCell ref="K9:N9"/>
    <mergeCell ref="K10:N10"/>
    <mergeCell ref="L12:N12"/>
    <mergeCell ref="L11:N11"/>
    <mergeCell ref="O11:O12"/>
    <mergeCell ref="O13:O1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AO90"/>
  <sheetViews>
    <sheetView showGridLines="0" zoomScale="80" zoomScaleNormal="80" workbookViewId="0">
      <selection activeCell="M1" sqref="M1:Q1"/>
    </sheetView>
  </sheetViews>
  <sheetFormatPr baseColWidth="10" defaultRowHeight="15" x14ac:dyDescent="0.25"/>
  <cols>
    <col min="1" max="10" width="11.42578125" style="97"/>
    <col min="11" max="11" width="11.42578125" style="95"/>
    <col min="12" max="14" width="11.42578125" style="97"/>
    <col min="15" max="15" width="5" style="97" customWidth="1"/>
    <col min="16" max="16" width="20.7109375" style="97" customWidth="1"/>
    <col min="17" max="17" width="11.42578125" style="95"/>
    <col min="18" max="18" width="3.85546875" style="97" customWidth="1"/>
    <col min="19" max="19" width="19.28515625" style="97" customWidth="1"/>
    <col min="20" max="20" width="7.28515625" style="97" customWidth="1"/>
    <col min="21" max="22" width="5.28515625" style="97" customWidth="1"/>
    <col min="23" max="23" width="11.42578125" style="97"/>
    <col min="24" max="28" width="5.5703125" style="97" customWidth="1"/>
    <col min="29" max="29" width="11.42578125" style="97"/>
    <col min="30" max="34" width="6.42578125" style="97" customWidth="1"/>
    <col min="35" max="35" width="11.42578125" style="97"/>
    <col min="36" max="40" width="5.28515625" style="97" customWidth="1"/>
    <col min="41" max="16384" width="11.42578125" style="97"/>
  </cols>
  <sheetData>
    <row r="1" spans="1:17" ht="27" thickBot="1" x14ac:dyDescent="0.3">
      <c r="B1" s="423"/>
      <c r="C1" s="423"/>
      <c r="I1" s="348" t="s">
        <v>165</v>
      </c>
      <c r="J1" s="349"/>
      <c r="K1" s="349"/>
      <c r="L1" s="361"/>
      <c r="M1" s="362">
        <v>41680</v>
      </c>
      <c r="N1" s="363"/>
      <c r="O1" s="363"/>
      <c r="P1" s="363"/>
      <c r="Q1" s="363"/>
    </row>
    <row r="2" spans="1:17" ht="29.25" thickBot="1" x14ac:dyDescent="0.3">
      <c r="B2" s="352" t="s">
        <v>208</v>
      </c>
      <c r="C2" s="353"/>
      <c r="D2" s="353"/>
      <c r="E2" s="353"/>
      <c r="F2" s="354"/>
      <c r="H2" s="71"/>
      <c r="I2" s="219"/>
      <c r="K2" s="84"/>
    </row>
    <row r="3" spans="1:17" ht="28.5" x14ac:dyDescent="0.25">
      <c r="B3" s="267"/>
      <c r="C3" s="267"/>
      <c r="D3" s="267"/>
      <c r="E3" s="267"/>
      <c r="F3" s="267"/>
      <c r="H3" s="71"/>
      <c r="I3" s="219"/>
      <c r="K3" s="84"/>
      <c r="Q3" s="261"/>
    </row>
    <row r="4" spans="1:17" x14ac:dyDescent="0.25">
      <c r="B4" s="426" t="s">
        <v>221</v>
      </c>
      <c r="C4" s="426"/>
      <c r="D4" s="98" t="s">
        <v>122</v>
      </c>
      <c r="H4" s="71"/>
      <c r="I4" s="219"/>
      <c r="K4" s="84"/>
      <c r="Q4" s="193"/>
    </row>
    <row r="5" spans="1:17" x14ac:dyDescent="0.25">
      <c r="D5" s="98" t="s">
        <v>123</v>
      </c>
      <c r="I5" s="219"/>
      <c r="K5" s="84"/>
      <c r="Q5" s="193"/>
    </row>
    <row r="6" spans="1:17" ht="15.75" customHeight="1" thickBot="1" x14ac:dyDescent="0.3">
      <c r="B6" s="98"/>
      <c r="D6" s="98" t="s">
        <v>124</v>
      </c>
      <c r="G6" s="71"/>
      <c r="N6" s="193"/>
      <c r="Q6" s="97"/>
    </row>
    <row r="7" spans="1:17" ht="25.5" customHeight="1" x14ac:dyDescent="0.25">
      <c r="B7" s="71"/>
      <c r="C7" s="424">
        <v>42370</v>
      </c>
      <c r="D7" s="425"/>
      <c r="F7" s="71"/>
      <c r="H7" s="357" t="s">
        <v>173</v>
      </c>
      <c r="I7" s="357"/>
      <c r="J7" s="357"/>
      <c r="K7" s="357"/>
      <c r="L7" s="357"/>
      <c r="M7" s="357"/>
      <c r="N7" s="95"/>
      <c r="P7" s="358" t="s">
        <v>166</v>
      </c>
      <c r="Q7" s="97"/>
    </row>
    <row r="8" spans="1:17" x14ac:dyDescent="0.25">
      <c r="H8" s="92"/>
      <c r="K8" s="97"/>
      <c r="N8" s="95"/>
      <c r="P8" s="359"/>
      <c r="Q8" s="97"/>
    </row>
    <row r="9" spans="1:17" ht="21" customHeight="1" x14ac:dyDescent="0.25">
      <c r="H9" s="92"/>
      <c r="K9" s="97"/>
      <c r="N9" s="95"/>
      <c r="P9" s="359"/>
      <c r="Q9" s="97"/>
    </row>
    <row r="10" spans="1:17" ht="15.75" thickBot="1" x14ac:dyDescent="0.3">
      <c r="A10" s="156"/>
      <c r="B10" s="156"/>
      <c r="C10" s="160" t="s">
        <v>125</v>
      </c>
      <c r="D10" s="156"/>
      <c r="E10" s="156"/>
      <c r="F10" s="156"/>
      <c r="G10" s="156"/>
      <c r="H10" s="148"/>
      <c r="I10" s="156"/>
      <c r="J10" s="160" t="s">
        <v>125</v>
      </c>
      <c r="K10" s="156"/>
      <c r="L10" s="156"/>
      <c r="M10" s="156"/>
      <c r="N10" s="136"/>
      <c r="P10" s="360"/>
      <c r="Q10" s="97"/>
    </row>
    <row r="11" spans="1:17" s="71" customFormat="1" x14ac:dyDescent="0.25">
      <c r="A11" s="157"/>
      <c r="B11" s="161"/>
      <c r="C11" s="143" t="s">
        <v>37</v>
      </c>
      <c r="D11" s="143" t="s">
        <v>38</v>
      </c>
      <c r="E11" s="143" t="s">
        <v>39</v>
      </c>
      <c r="F11" s="143" t="s">
        <v>40</v>
      </c>
      <c r="G11" s="143" t="s">
        <v>39</v>
      </c>
      <c r="H11" s="158"/>
      <c r="I11" s="157"/>
      <c r="J11" s="143" t="s">
        <v>37</v>
      </c>
      <c r="K11" s="143" t="s">
        <v>38</v>
      </c>
      <c r="L11" s="143" t="s">
        <v>39</v>
      </c>
      <c r="M11" s="143" t="s">
        <v>40</v>
      </c>
      <c r="N11" s="143" t="s">
        <v>39</v>
      </c>
    </row>
    <row r="12" spans="1:17" s="71" customFormat="1" x14ac:dyDescent="0.25">
      <c r="A12" s="157"/>
      <c r="B12" s="161"/>
      <c r="C12" s="161"/>
      <c r="D12" s="161"/>
      <c r="E12" s="143" t="s">
        <v>41</v>
      </c>
      <c r="F12" s="143" t="s">
        <v>42</v>
      </c>
      <c r="G12" s="143" t="s">
        <v>43</v>
      </c>
      <c r="H12" s="158"/>
      <c r="I12" s="157"/>
      <c r="J12" s="161"/>
      <c r="K12" s="161"/>
      <c r="L12" s="143" t="s">
        <v>41</v>
      </c>
      <c r="M12" s="143" t="s">
        <v>42</v>
      </c>
      <c r="N12" s="143" t="s">
        <v>43</v>
      </c>
    </row>
    <row r="13" spans="1:17" ht="21" x14ac:dyDescent="0.25">
      <c r="A13" s="156"/>
      <c r="B13" s="160"/>
      <c r="C13" s="197">
        <v>1</v>
      </c>
      <c r="D13" s="145" t="s">
        <v>44</v>
      </c>
      <c r="E13" s="145">
        <f>LOOKUP(G13,'IB-IM et VP'!A:A,'IB-IM et VP'!C:C)</f>
        <v>333</v>
      </c>
      <c r="F13" s="188">
        <f>E13*'IB-IM et VP'!P3</f>
        <v>1551.1389749999998</v>
      </c>
      <c r="G13" s="145">
        <v>358</v>
      </c>
      <c r="H13" s="227" t="s">
        <v>57</v>
      </c>
      <c r="I13" s="156"/>
      <c r="J13" s="404">
        <v>1</v>
      </c>
      <c r="K13" s="145" t="s">
        <v>45</v>
      </c>
      <c r="L13" s="145">
        <f>LOOKUP(N13,'IB-IM et VP'!A:A,'IB-IM et VP'!C:C)</f>
        <v>347</v>
      </c>
      <c r="M13" s="162">
        <f>L13*'IB-IM et VP'!P3</f>
        <v>1616.3520249999997</v>
      </c>
      <c r="N13" s="145">
        <v>377</v>
      </c>
      <c r="P13" s="198">
        <f>A48</f>
        <v>42736</v>
      </c>
      <c r="Q13" s="97"/>
    </row>
    <row r="14" spans="1:17" ht="21" x14ac:dyDescent="0.25">
      <c r="A14" s="156"/>
      <c r="B14" s="160"/>
      <c r="C14" s="197">
        <v>2</v>
      </c>
      <c r="D14" s="145" t="s">
        <v>45</v>
      </c>
      <c r="E14" s="145">
        <f>LOOKUP(G14,'IB-IM et VP'!A:A,'IB-IM et VP'!C:C)</f>
        <v>338</v>
      </c>
      <c r="F14" s="188">
        <f>E14*'IB-IM et VP'!P4</f>
        <v>1574.4293499999997</v>
      </c>
      <c r="G14" s="145">
        <v>365</v>
      </c>
      <c r="H14" s="227" t="s">
        <v>73</v>
      </c>
      <c r="I14" s="156"/>
      <c r="J14" s="405"/>
      <c r="K14" s="145" t="s">
        <v>45</v>
      </c>
      <c r="L14" s="145">
        <f>LOOKUP(N14,'IB-IM et VP'!A:A,'IB-IM et VP'!C:C)</f>
        <v>347</v>
      </c>
      <c r="M14" s="162">
        <f>L14*'IB-IM et VP'!P4</f>
        <v>1616.3520249999997</v>
      </c>
      <c r="N14" s="145">
        <v>377</v>
      </c>
      <c r="O14" s="220"/>
      <c r="P14" s="195">
        <f>K51</f>
        <v>42208</v>
      </c>
      <c r="Q14" s="97"/>
    </row>
    <row r="15" spans="1:17" ht="21" x14ac:dyDescent="0.25">
      <c r="A15" s="156"/>
      <c r="B15" s="160"/>
      <c r="C15" s="197">
        <v>3</v>
      </c>
      <c r="D15" s="145" t="s">
        <v>45</v>
      </c>
      <c r="E15" s="145">
        <f>LOOKUP(G15,'IB-IM et VP'!A:A,'IB-IM et VP'!C:C)</f>
        <v>348</v>
      </c>
      <c r="F15" s="188">
        <f>E15*'IB-IM et VP'!P5</f>
        <v>1621.0100999999997</v>
      </c>
      <c r="G15" s="145">
        <v>378</v>
      </c>
      <c r="H15" s="227" t="s">
        <v>56</v>
      </c>
      <c r="I15" s="156"/>
      <c r="J15" s="197">
        <v>2</v>
      </c>
      <c r="K15" s="145" t="s">
        <v>45</v>
      </c>
      <c r="L15" s="145">
        <f>LOOKUP(N15,'IB-IM et VP'!A:A,'IB-IM et VP'!C:C)</f>
        <v>356</v>
      </c>
      <c r="M15" s="162">
        <f>L15*'IB-IM et VP'!P5</f>
        <v>1658.2746999999997</v>
      </c>
      <c r="N15" s="145">
        <v>389</v>
      </c>
      <c r="P15" s="198">
        <f>M1</f>
        <v>41680</v>
      </c>
      <c r="Q15" s="97"/>
    </row>
    <row r="16" spans="1:17" ht="21" x14ac:dyDescent="0.25">
      <c r="A16" s="156"/>
      <c r="B16" s="160"/>
      <c r="C16" s="197">
        <v>4</v>
      </c>
      <c r="D16" s="145" t="s">
        <v>45</v>
      </c>
      <c r="E16" s="145">
        <f>LOOKUP(G16,'IB-IM et VP'!A:A,'IB-IM et VP'!C:C)</f>
        <v>358</v>
      </c>
      <c r="F16" s="188">
        <f>E16*'IB-IM et VP'!P6</f>
        <v>1667.5908499999998</v>
      </c>
      <c r="G16" s="145">
        <v>393</v>
      </c>
      <c r="H16" s="227" t="s">
        <v>56</v>
      </c>
      <c r="I16" s="156"/>
      <c r="J16" s="197">
        <v>3</v>
      </c>
      <c r="K16" s="145" t="s">
        <v>45</v>
      </c>
      <c r="L16" s="145">
        <f>LOOKUP(N16,'IB-IM et VP'!A:A,'IB-IM et VP'!C:C)</f>
        <v>365</v>
      </c>
      <c r="M16" s="162">
        <f>L16*'IB-IM et VP'!P6</f>
        <v>1700.1973749999997</v>
      </c>
      <c r="N16" s="145">
        <v>404</v>
      </c>
      <c r="O16" s="220"/>
      <c r="P16" s="195">
        <f>M1</f>
        <v>41680</v>
      </c>
      <c r="Q16" s="97"/>
    </row>
    <row r="17" spans="1:17" ht="21" x14ac:dyDescent="0.25">
      <c r="A17" s="156"/>
      <c r="B17" s="160"/>
      <c r="C17" s="210">
        <v>5</v>
      </c>
      <c r="D17" s="145" t="s">
        <v>45</v>
      </c>
      <c r="E17" s="145">
        <f>LOOKUP(G17,'IB-IM et VP'!A:A,'IB-IM et VP'!C:C)</f>
        <v>372</v>
      </c>
      <c r="F17" s="188">
        <f>E17*'IB-IM et VP'!P7</f>
        <v>1732.8038999999997</v>
      </c>
      <c r="G17" s="145">
        <v>419</v>
      </c>
      <c r="H17" s="227" t="s">
        <v>56</v>
      </c>
      <c r="I17" s="156"/>
      <c r="J17" s="197">
        <v>4</v>
      </c>
      <c r="K17" s="145" t="s">
        <v>45</v>
      </c>
      <c r="L17" s="145">
        <f>LOOKUP(N17,'IB-IM et VP'!A:A,'IB-IM et VP'!C:C)</f>
        <v>377</v>
      </c>
      <c r="M17" s="162">
        <f>L17*'IB-IM et VP'!P7</f>
        <v>1756.0942749999997</v>
      </c>
      <c r="N17" s="145">
        <v>425</v>
      </c>
      <c r="P17" s="198">
        <f>M1</f>
        <v>41680</v>
      </c>
      <c r="Q17" s="97"/>
    </row>
    <row r="18" spans="1:17" ht="21" x14ac:dyDescent="0.25">
      <c r="A18" s="156"/>
      <c r="B18" s="160"/>
      <c r="C18" s="210">
        <v>6</v>
      </c>
      <c r="D18" s="145" t="s">
        <v>45</v>
      </c>
      <c r="E18" s="145">
        <f>LOOKUP(G18,'IB-IM et VP'!A:A,'IB-IM et VP'!C:C)</f>
        <v>386</v>
      </c>
      <c r="F18" s="188">
        <f>E18*'IB-IM et VP'!P8</f>
        <v>1798.0169499999997</v>
      </c>
      <c r="G18" s="145">
        <v>438</v>
      </c>
      <c r="H18" s="227" t="s">
        <v>56</v>
      </c>
      <c r="I18" s="156"/>
      <c r="J18" s="210">
        <v>5</v>
      </c>
      <c r="K18" s="145" t="s">
        <v>45</v>
      </c>
      <c r="L18" s="145">
        <f>LOOKUP(N18,'IB-IM et VP'!A:A,'IB-IM et VP'!C:C)</f>
        <v>391</v>
      </c>
      <c r="M18" s="162">
        <f>L18*'IB-IM et VP'!P8</f>
        <v>1821.3073249999998</v>
      </c>
      <c r="N18" s="145">
        <v>445</v>
      </c>
      <c r="O18" s="220"/>
      <c r="P18" s="195">
        <f>M1</f>
        <v>41680</v>
      </c>
      <c r="Q18" s="97"/>
    </row>
    <row r="19" spans="1:17" ht="21" x14ac:dyDescent="0.25">
      <c r="A19" s="156"/>
      <c r="B19" s="160"/>
      <c r="C19" s="210">
        <v>7</v>
      </c>
      <c r="D19" s="145" t="s">
        <v>45</v>
      </c>
      <c r="E19" s="145">
        <f>LOOKUP(G19,'IB-IM et VP'!A:A,'IB-IM et VP'!C:C)</f>
        <v>401</v>
      </c>
      <c r="F19" s="188">
        <f>E19*'IB-IM et VP'!P9</f>
        <v>1867.8880749999996</v>
      </c>
      <c r="G19" s="145">
        <v>458</v>
      </c>
      <c r="H19" s="227" t="s">
        <v>56</v>
      </c>
      <c r="I19" s="156"/>
      <c r="J19" s="210">
        <v>6</v>
      </c>
      <c r="K19" s="145" t="s">
        <v>45</v>
      </c>
      <c r="L19" s="145">
        <f>LOOKUP(N19,'IB-IM et VP'!A:A,'IB-IM et VP'!C:C)</f>
        <v>403</v>
      </c>
      <c r="M19" s="162">
        <f>L19*'IB-IM et VP'!P9</f>
        <v>1877.2042249999997</v>
      </c>
      <c r="N19" s="145">
        <v>460</v>
      </c>
      <c r="P19" s="198">
        <f>M1</f>
        <v>41680</v>
      </c>
      <c r="Q19" s="97"/>
    </row>
    <row r="20" spans="1:17" ht="21" x14ac:dyDescent="0.25">
      <c r="A20" s="156"/>
      <c r="B20" s="160"/>
      <c r="C20" s="210">
        <v>8</v>
      </c>
      <c r="D20" s="145" t="s">
        <v>45</v>
      </c>
      <c r="E20" s="145">
        <f>LOOKUP(G20,'IB-IM et VP'!A:A,'IB-IM et VP'!C:C)</f>
        <v>418</v>
      </c>
      <c r="F20" s="188">
        <f>E20*'IB-IM et VP'!P10</f>
        <v>1947.0753499999996</v>
      </c>
      <c r="G20" s="134">
        <v>483</v>
      </c>
      <c r="H20" s="227" t="s">
        <v>56</v>
      </c>
      <c r="I20" s="156"/>
      <c r="J20" s="210">
        <v>7</v>
      </c>
      <c r="K20" s="145" t="s">
        <v>45</v>
      </c>
      <c r="L20" s="145">
        <f>LOOKUP(N20,'IB-IM et VP'!A:A,'IB-IM et VP'!C:C)</f>
        <v>420</v>
      </c>
      <c r="M20" s="162">
        <f>L20*'IB-IM et VP'!P10</f>
        <v>1956.3914999999997</v>
      </c>
      <c r="N20" s="145">
        <v>486</v>
      </c>
      <c r="O20" s="220"/>
      <c r="P20" s="195">
        <f>M1</f>
        <v>41680</v>
      </c>
      <c r="Q20" s="97"/>
    </row>
    <row r="21" spans="1:17" ht="21" x14ac:dyDescent="0.25">
      <c r="A21" s="156"/>
      <c r="B21" s="156"/>
      <c r="C21" s="210">
        <v>9</v>
      </c>
      <c r="D21" s="145" t="s">
        <v>46</v>
      </c>
      <c r="E21" s="145">
        <f>LOOKUP(G21,'IB-IM et VP'!A:A,'IB-IM et VP'!C:C)</f>
        <v>437</v>
      </c>
      <c r="F21" s="188">
        <f>E21*'IB-IM et VP'!P11</f>
        <v>2035.5787749999997</v>
      </c>
      <c r="G21" s="134">
        <v>508</v>
      </c>
      <c r="H21" s="227" t="s">
        <v>56</v>
      </c>
      <c r="I21" s="156"/>
      <c r="J21" s="210">
        <v>8</v>
      </c>
      <c r="K21" s="145" t="s">
        <v>45</v>
      </c>
      <c r="L21" s="145">
        <f>LOOKUP(N21,'IB-IM et VP'!A:A,'IB-IM et VP'!C:C)</f>
        <v>439</v>
      </c>
      <c r="M21" s="162">
        <f>L21*'IB-IM et VP'!P11</f>
        <v>2044.8949249999996</v>
      </c>
      <c r="N21" s="145">
        <v>510</v>
      </c>
      <c r="P21" s="198">
        <f>M1</f>
        <v>41680</v>
      </c>
      <c r="Q21" s="97"/>
    </row>
    <row r="22" spans="1:17" ht="21" x14ac:dyDescent="0.25">
      <c r="A22" s="156"/>
      <c r="B22" s="156"/>
      <c r="C22" s="210">
        <v>10</v>
      </c>
      <c r="D22" s="145" t="s">
        <v>46</v>
      </c>
      <c r="E22" s="145">
        <f>LOOKUP(G22,'IB-IM et VP'!A:A,'IB-IM et VP'!C:C)</f>
        <v>458</v>
      </c>
      <c r="F22" s="188">
        <f>E22*'IB-IM et VP'!P12</f>
        <v>2133.3983499999995</v>
      </c>
      <c r="G22" s="134">
        <v>539</v>
      </c>
      <c r="H22" s="227" t="s">
        <v>56</v>
      </c>
      <c r="I22" s="156"/>
      <c r="J22" s="210">
        <v>9</v>
      </c>
      <c r="K22" s="145" t="s">
        <v>46</v>
      </c>
      <c r="L22" s="145">
        <f>LOOKUP(N22,'IB-IM et VP'!A:A,'IB-IM et VP'!C:C)</f>
        <v>461</v>
      </c>
      <c r="M22" s="162">
        <f>L22*'IB-IM et VP'!P12</f>
        <v>2147.3725749999999</v>
      </c>
      <c r="N22" s="134">
        <v>542</v>
      </c>
      <c r="O22" s="220"/>
      <c r="P22" s="195">
        <f>M1</f>
        <v>41680</v>
      </c>
      <c r="Q22" s="97"/>
    </row>
    <row r="23" spans="1:17" ht="21" x14ac:dyDescent="0.25">
      <c r="A23" s="156"/>
      <c r="B23" s="156"/>
      <c r="C23" s="210">
        <v>11</v>
      </c>
      <c r="D23" s="145" t="s">
        <v>46</v>
      </c>
      <c r="E23" s="145">
        <f>LOOKUP(G23,'IB-IM et VP'!A:A,'IB-IM et VP'!C:C)</f>
        <v>479</v>
      </c>
      <c r="F23" s="188">
        <f>E23*'IB-IM et VP'!P13</f>
        <v>2231.2179249999995</v>
      </c>
      <c r="G23" s="134">
        <v>566</v>
      </c>
      <c r="H23" s="227" t="s">
        <v>56</v>
      </c>
      <c r="I23" s="156"/>
      <c r="J23" s="210">
        <v>10</v>
      </c>
      <c r="K23" s="145" t="s">
        <v>46</v>
      </c>
      <c r="L23" s="145">
        <f>LOOKUP(N23,'IB-IM et VP'!A:A,'IB-IM et VP'!C:C)</f>
        <v>482</v>
      </c>
      <c r="M23" s="162">
        <f>L23*'IB-IM et VP'!P13</f>
        <v>2245.1921499999999</v>
      </c>
      <c r="N23" s="134">
        <v>570</v>
      </c>
      <c r="P23" s="198">
        <f>M1</f>
        <v>41680</v>
      </c>
      <c r="Q23" s="97"/>
    </row>
    <row r="24" spans="1:17" ht="21" x14ac:dyDescent="0.25">
      <c r="A24" s="156"/>
      <c r="B24" s="156"/>
      <c r="C24" s="210">
        <v>12</v>
      </c>
      <c r="D24" s="145" t="s">
        <v>47</v>
      </c>
      <c r="E24" s="145">
        <f>LOOKUP(G24,'IB-IM et VP'!A:A,'IB-IM et VP'!C:C)</f>
        <v>499</v>
      </c>
      <c r="F24" s="188">
        <f>E24*'IB-IM et VP'!P14</f>
        <v>2324.3794249999996</v>
      </c>
      <c r="G24" s="134">
        <v>592</v>
      </c>
      <c r="H24" s="227" t="s">
        <v>56</v>
      </c>
      <c r="I24" s="156"/>
      <c r="J24" s="210">
        <v>11</v>
      </c>
      <c r="K24" s="145" t="s">
        <v>46</v>
      </c>
      <c r="L24" s="145">
        <f>LOOKUP(N24,'IB-IM et VP'!A:A,'IB-IM et VP'!C:C)</f>
        <v>501</v>
      </c>
      <c r="M24" s="162">
        <f>L24*'IB-IM et VP'!P14</f>
        <v>2333.6955749999997</v>
      </c>
      <c r="N24" s="134">
        <v>594</v>
      </c>
      <c r="O24" s="220"/>
      <c r="P24" s="195">
        <f>M1</f>
        <v>41680</v>
      </c>
      <c r="Q24" s="97"/>
    </row>
    <row r="25" spans="1:17" ht="21" x14ac:dyDescent="0.25">
      <c r="A25" s="156"/>
      <c r="B25" s="156"/>
      <c r="C25" s="210">
        <v>13</v>
      </c>
      <c r="D25" s="159"/>
      <c r="E25" s="145">
        <f>LOOKUP(G25,'IB-IM et VP'!A:A,'IB-IM et VP'!C:C)</f>
        <v>521</v>
      </c>
      <c r="F25" s="188">
        <f>E25*'IB-IM et VP'!P15</f>
        <v>2426.8570749999994</v>
      </c>
      <c r="G25" s="134">
        <v>621</v>
      </c>
      <c r="H25" s="227" t="s">
        <v>56</v>
      </c>
      <c r="I25" s="156"/>
      <c r="J25" s="210">
        <v>12</v>
      </c>
      <c r="K25" s="145"/>
      <c r="L25" s="145">
        <f>LOOKUP(N25,'IB-IM et VP'!A:A,'IB-IM et VP'!C:C)</f>
        <v>529</v>
      </c>
      <c r="M25" s="162">
        <f>L25*'IB-IM et VP'!P15</f>
        <v>2464.1216749999994</v>
      </c>
      <c r="N25" s="134">
        <v>631</v>
      </c>
      <c r="O25" s="220"/>
      <c r="P25" s="195">
        <f>M1</f>
        <v>41680</v>
      </c>
      <c r="Q25" s="97"/>
    </row>
    <row r="26" spans="1:17" ht="21" x14ac:dyDescent="0.25">
      <c r="A26" s="156"/>
      <c r="B26" s="156"/>
      <c r="C26" s="156"/>
      <c r="D26" s="156"/>
      <c r="E26" s="156"/>
      <c r="F26" s="156"/>
      <c r="G26" s="156"/>
      <c r="H26" s="136"/>
      <c r="I26" s="156"/>
      <c r="J26" s="156"/>
      <c r="K26" s="156"/>
      <c r="L26" s="156"/>
      <c r="M26" s="156"/>
      <c r="N26" s="138"/>
      <c r="P26" s="221"/>
      <c r="Q26" s="97"/>
    </row>
    <row r="27" spans="1:17" ht="21" x14ac:dyDescent="0.25">
      <c r="A27" s="156"/>
      <c r="B27" s="160" t="s">
        <v>126</v>
      </c>
      <c r="C27" s="156"/>
      <c r="D27" s="156"/>
      <c r="E27" s="156"/>
      <c r="F27" s="156"/>
      <c r="G27" s="156"/>
      <c r="H27" s="136"/>
      <c r="I27" s="156"/>
      <c r="J27" s="156"/>
      <c r="K27" s="156"/>
      <c r="L27" s="156"/>
      <c r="M27" s="156"/>
      <c r="N27" s="136"/>
      <c r="P27" s="221"/>
      <c r="Q27" s="97"/>
    </row>
    <row r="28" spans="1:17" ht="21" x14ac:dyDescent="0.25">
      <c r="A28" s="156"/>
      <c r="B28" s="160" t="s">
        <v>127</v>
      </c>
      <c r="C28" s="156"/>
      <c r="D28" s="156"/>
      <c r="E28" s="156"/>
      <c r="F28" s="156"/>
      <c r="G28" s="156"/>
      <c r="H28" s="136"/>
      <c r="I28" s="156"/>
      <c r="J28" s="156"/>
      <c r="K28" s="156"/>
      <c r="L28" s="156"/>
      <c r="M28" s="156"/>
      <c r="N28" s="136"/>
      <c r="P28" s="221"/>
      <c r="Q28" s="97"/>
    </row>
    <row r="29" spans="1:17" ht="21" x14ac:dyDescent="0.25">
      <c r="A29" s="156"/>
      <c r="B29" s="160" t="s">
        <v>128</v>
      </c>
      <c r="C29" s="156"/>
      <c r="D29" s="156"/>
      <c r="E29" s="156"/>
      <c r="F29" s="156"/>
      <c r="G29" s="156"/>
      <c r="H29" s="136"/>
      <c r="I29" s="156"/>
      <c r="J29" s="156"/>
      <c r="K29" s="156"/>
      <c r="L29" s="156"/>
      <c r="M29" s="156"/>
      <c r="N29" s="136"/>
      <c r="P29" s="221"/>
      <c r="Q29" s="97"/>
    </row>
    <row r="30" spans="1:17" ht="21" x14ac:dyDescent="0.25">
      <c r="A30" s="156"/>
      <c r="B30" s="156"/>
      <c r="C30" s="160" t="s">
        <v>129</v>
      </c>
      <c r="D30" s="156"/>
      <c r="E30" s="156"/>
      <c r="F30" s="156"/>
      <c r="G30" s="156"/>
      <c r="H30" s="136"/>
      <c r="I30" s="156"/>
      <c r="J30" s="160" t="s">
        <v>129</v>
      </c>
      <c r="K30" s="156"/>
      <c r="L30" s="156"/>
      <c r="M30" s="156"/>
      <c r="N30" s="136"/>
      <c r="P30" s="221"/>
      <c r="Q30" s="97"/>
    </row>
    <row r="31" spans="1:17" s="71" customFormat="1" ht="21" x14ac:dyDescent="0.25">
      <c r="A31" s="157"/>
      <c r="B31" s="157"/>
      <c r="C31" s="143" t="s">
        <v>37</v>
      </c>
      <c r="D31" s="143" t="s">
        <v>38</v>
      </c>
      <c r="E31" s="143" t="s">
        <v>39</v>
      </c>
      <c r="F31" s="143" t="s">
        <v>40</v>
      </c>
      <c r="G31" s="143" t="s">
        <v>39</v>
      </c>
      <c r="H31" s="158"/>
      <c r="I31" s="157"/>
      <c r="J31" s="143" t="s">
        <v>37</v>
      </c>
      <c r="K31" s="143" t="s">
        <v>38</v>
      </c>
      <c r="L31" s="143" t="s">
        <v>39</v>
      </c>
      <c r="M31" s="143" t="s">
        <v>40</v>
      </c>
      <c r="N31" s="143" t="s">
        <v>39</v>
      </c>
      <c r="P31" s="222"/>
    </row>
    <row r="32" spans="1:17" s="71" customFormat="1" ht="21" x14ac:dyDescent="0.25">
      <c r="A32" s="157"/>
      <c r="B32" s="157"/>
      <c r="C32" s="161"/>
      <c r="D32" s="161"/>
      <c r="E32" s="143" t="s">
        <v>41</v>
      </c>
      <c r="F32" s="143" t="s">
        <v>42</v>
      </c>
      <c r="G32" s="143" t="s">
        <v>43</v>
      </c>
      <c r="H32" s="158"/>
      <c r="I32" s="157"/>
      <c r="J32" s="161"/>
      <c r="K32" s="161"/>
      <c r="L32" s="143" t="s">
        <v>41</v>
      </c>
      <c r="M32" s="143" t="s">
        <v>42</v>
      </c>
      <c r="N32" s="143" t="s">
        <v>43</v>
      </c>
      <c r="P32" s="222"/>
    </row>
    <row r="33" spans="1:41" ht="21" x14ac:dyDescent="0.25">
      <c r="A33" s="156"/>
      <c r="B33" s="156"/>
      <c r="C33" s="197">
        <v>1</v>
      </c>
      <c r="D33" s="145" t="s">
        <v>44</v>
      </c>
      <c r="E33" s="145">
        <f>LOOKUP(G33,'IB-IM et VP'!A:A,'IB-IM et VP'!C:C)</f>
        <v>381</v>
      </c>
      <c r="F33" s="188">
        <f>E33*'IB-IM et VP'!P3</f>
        <v>1774.7265749999997</v>
      </c>
      <c r="G33" s="145">
        <v>431</v>
      </c>
      <c r="H33" s="227" t="s">
        <v>57</v>
      </c>
      <c r="I33" s="156"/>
      <c r="J33" s="404">
        <v>1</v>
      </c>
      <c r="K33" s="145" t="s">
        <v>44</v>
      </c>
      <c r="L33" s="145">
        <f>LOOKUP(N33,'IB-IM et VP'!A:A,'IB-IM et VP'!C:C)</f>
        <v>396</v>
      </c>
      <c r="M33" s="162">
        <f>L33*'IB-IM et VP'!P3</f>
        <v>1844.5976999999998</v>
      </c>
      <c r="N33" s="145">
        <v>452</v>
      </c>
      <c r="P33" s="198">
        <f>A48</f>
        <v>42736</v>
      </c>
      <c r="Q33" s="97"/>
    </row>
    <row r="34" spans="1:41" ht="21" x14ac:dyDescent="0.25">
      <c r="A34" s="156"/>
      <c r="B34" s="156"/>
      <c r="C34" s="197">
        <v>2</v>
      </c>
      <c r="D34" s="145" t="s">
        <v>45</v>
      </c>
      <c r="E34" s="145">
        <f>LOOKUP(G34,'IB-IM et VP'!A:A,'IB-IM et VP'!C:C)</f>
        <v>394</v>
      </c>
      <c r="F34" s="188">
        <f>E34*'IB-IM et VP'!P4</f>
        <v>1835.2815499999997</v>
      </c>
      <c r="G34" s="145">
        <v>449</v>
      </c>
      <c r="H34" s="227" t="s">
        <v>56</v>
      </c>
      <c r="I34" s="156"/>
      <c r="J34" s="405"/>
      <c r="K34" s="145" t="s">
        <v>44</v>
      </c>
      <c r="L34" s="145">
        <f>LOOKUP(N34,'IB-IM et VP'!A:A,'IB-IM et VP'!C:C)</f>
        <v>396</v>
      </c>
      <c r="M34" s="162">
        <f>L34*'IB-IM et VP'!P4</f>
        <v>1844.5976999999998</v>
      </c>
      <c r="N34" s="145">
        <v>452</v>
      </c>
      <c r="O34" s="220"/>
      <c r="P34" s="195">
        <f>M1</f>
        <v>41680</v>
      </c>
      <c r="Q34" s="97"/>
    </row>
    <row r="35" spans="1:41" ht="21" x14ac:dyDescent="0.25">
      <c r="A35" s="156"/>
      <c r="B35" s="156"/>
      <c r="C35" s="197">
        <v>3</v>
      </c>
      <c r="D35" s="145" t="s">
        <v>45</v>
      </c>
      <c r="E35" s="145">
        <f>LOOKUP(G35,'IB-IM et VP'!A:A,'IB-IM et VP'!C:C)</f>
        <v>410</v>
      </c>
      <c r="F35" s="188">
        <f>E35*'IB-IM et VP'!P5</f>
        <v>1909.8107499999996</v>
      </c>
      <c r="G35" s="145">
        <v>469</v>
      </c>
      <c r="H35" s="227" t="s">
        <v>56</v>
      </c>
      <c r="I35" s="156"/>
      <c r="J35" s="197">
        <v>2</v>
      </c>
      <c r="K35" s="145" t="s">
        <v>45</v>
      </c>
      <c r="L35" s="145">
        <f>LOOKUP(N35,'IB-IM et VP'!A:A,'IB-IM et VP'!C:C)</f>
        <v>413</v>
      </c>
      <c r="M35" s="162">
        <f>L35*'IB-IM et VP'!P5</f>
        <v>1923.7849749999998</v>
      </c>
      <c r="N35" s="145">
        <v>475</v>
      </c>
      <c r="P35" s="198">
        <f>M1</f>
        <v>41680</v>
      </c>
      <c r="Q35" s="97"/>
    </row>
    <row r="36" spans="1:41" ht="21" x14ac:dyDescent="0.25">
      <c r="A36" s="156"/>
      <c r="B36" s="156"/>
      <c r="C36" s="197">
        <v>4</v>
      </c>
      <c r="D36" s="145" t="s">
        <v>45</v>
      </c>
      <c r="E36" s="145">
        <f>LOOKUP(G36,'IB-IM et VP'!A:A,'IB-IM et VP'!C:C)</f>
        <v>426</v>
      </c>
      <c r="F36" s="188">
        <f>E36*'IB-IM et VP'!P6</f>
        <v>1984.3399499999996</v>
      </c>
      <c r="G36" s="145">
        <v>494</v>
      </c>
      <c r="H36" s="227" t="s">
        <v>56</v>
      </c>
      <c r="I36" s="156"/>
      <c r="J36" s="197">
        <v>3</v>
      </c>
      <c r="K36" s="145" t="s">
        <v>45</v>
      </c>
      <c r="L36" s="145">
        <f>LOOKUP(N36,'IB-IM et VP'!A:A,'IB-IM et VP'!C:C)</f>
        <v>430</v>
      </c>
      <c r="M36" s="162">
        <f>L36*'IB-IM et VP'!P6</f>
        <v>2002.9722499999998</v>
      </c>
      <c r="N36" s="145">
        <v>499</v>
      </c>
      <c r="O36" s="220"/>
      <c r="P36" s="195">
        <f>M1</f>
        <v>41680</v>
      </c>
      <c r="Q36" s="97"/>
    </row>
    <row r="37" spans="1:41" ht="21" x14ac:dyDescent="0.25">
      <c r="A37" s="156"/>
      <c r="B37" s="156"/>
      <c r="C37" s="210">
        <v>5</v>
      </c>
      <c r="D37" s="145" t="s">
        <v>45</v>
      </c>
      <c r="E37" s="145">
        <f>LOOKUP(G37,'IB-IM et VP'!A:A,'IB-IM et VP'!C:C)</f>
        <v>448</v>
      </c>
      <c r="F37" s="188">
        <f>E37*'IB-IM et VP'!P7</f>
        <v>2086.8175999999999</v>
      </c>
      <c r="G37" s="145">
        <v>523</v>
      </c>
      <c r="H37" s="227" t="s">
        <v>56</v>
      </c>
      <c r="I37" s="156"/>
      <c r="J37" s="197">
        <v>4</v>
      </c>
      <c r="K37" s="145" t="s">
        <v>45</v>
      </c>
      <c r="L37" s="145">
        <f>LOOKUP(N37,'IB-IM et VP'!A:A,'IB-IM et VP'!C:C)</f>
        <v>451</v>
      </c>
      <c r="M37" s="162">
        <f>L37*'IB-IM et VP'!P7</f>
        <v>2100.7918249999998</v>
      </c>
      <c r="N37" s="145">
        <v>527</v>
      </c>
      <c r="P37" s="198">
        <f>M1</f>
        <v>41680</v>
      </c>
      <c r="Q37" s="97"/>
    </row>
    <row r="38" spans="1:41" ht="21" x14ac:dyDescent="0.25">
      <c r="A38" s="156"/>
      <c r="B38" s="156"/>
      <c r="C38" s="210">
        <v>6</v>
      </c>
      <c r="D38" s="145" t="s">
        <v>45</v>
      </c>
      <c r="E38" s="145">
        <f>LOOKUP(G38,'IB-IM et VP'!A:A,'IB-IM et VP'!C:C)</f>
        <v>469</v>
      </c>
      <c r="F38" s="188">
        <f>E38*'IB-IM et VP'!P8</f>
        <v>2184.6371749999998</v>
      </c>
      <c r="G38" s="145">
        <v>553</v>
      </c>
      <c r="H38" s="227" t="s">
        <v>56</v>
      </c>
      <c r="I38" s="156"/>
      <c r="J38" s="210">
        <v>5</v>
      </c>
      <c r="K38" s="145" t="s">
        <v>45</v>
      </c>
      <c r="L38" s="145">
        <f>LOOKUP(N38,'IB-IM et VP'!A:A,'IB-IM et VP'!C:C)</f>
        <v>473</v>
      </c>
      <c r="M38" s="162">
        <f>L38*'IB-IM et VP'!P8</f>
        <v>2203.2694749999996</v>
      </c>
      <c r="N38" s="145">
        <v>558</v>
      </c>
      <c r="O38" s="220"/>
      <c r="P38" s="195">
        <f>M1</f>
        <v>41680</v>
      </c>
      <c r="Q38" s="97"/>
    </row>
    <row r="39" spans="1:41" ht="21" x14ac:dyDescent="0.25">
      <c r="A39" s="156"/>
      <c r="B39" s="156"/>
      <c r="C39" s="210">
        <v>7</v>
      </c>
      <c r="D39" s="145" t="s">
        <v>45</v>
      </c>
      <c r="E39" s="145">
        <f>LOOKUP(G39,'IB-IM et VP'!A:A,'IB-IM et VP'!C:C)</f>
        <v>489</v>
      </c>
      <c r="F39" s="188">
        <f>E39*'IB-IM et VP'!P9</f>
        <v>2277.7986749999995</v>
      </c>
      <c r="G39" s="145">
        <v>579</v>
      </c>
      <c r="H39" s="227" t="s">
        <v>56</v>
      </c>
      <c r="I39" s="156"/>
      <c r="J39" s="210">
        <v>6</v>
      </c>
      <c r="K39" s="145" t="s">
        <v>45</v>
      </c>
      <c r="L39" s="145">
        <f>LOOKUP(N39,'IB-IM et VP'!A:A,'IB-IM et VP'!C:C)</f>
        <v>493</v>
      </c>
      <c r="M39" s="162">
        <f>L39*'IB-IM et VP'!P9</f>
        <v>2296.4309749999998</v>
      </c>
      <c r="N39" s="145">
        <v>584</v>
      </c>
      <c r="P39" s="198">
        <f>M1</f>
        <v>41680</v>
      </c>
      <c r="Q39" s="97"/>
    </row>
    <row r="40" spans="1:41" ht="21" x14ac:dyDescent="0.25">
      <c r="A40" s="156"/>
      <c r="B40" s="156"/>
      <c r="C40" s="210">
        <v>8</v>
      </c>
      <c r="D40" s="145" t="s">
        <v>89</v>
      </c>
      <c r="E40" s="145">
        <f>LOOKUP(G40,'IB-IM et VP'!A:A,'IB-IM et VP'!C:C)</f>
        <v>510</v>
      </c>
      <c r="F40" s="188">
        <f>E40*'IB-IM et VP'!P10</f>
        <v>2375.6182499999995</v>
      </c>
      <c r="G40" s="145">
        <v>607</v>
      </c>
      <c r="H40" s="227" t="s">
        <v>56</v>
      </c>
      <c r="I40" s="156"/>
      <c r="J40" s="210">
        <v>7</v>
      </c>
      <c r="K40" s="145" t="s">
        <v>89</v>
      </c>
      <c r="L40" s="145">
        <f>LOOKUP(N40,'IB-IM et VP'!A:A,'IB-IM et VP'!C:C)</f>
        <v>513</v>
      </c>
      <c r="M40" s="162">
        <f>L40*'IB-IM et VP'!P10</f>
        <v>2389.5924749999995</v>
      </c>
      <c r="N40" s="145">
        <v>611</v>
      </c>
      <c r="O40" s="220"/>
      <c r="P40" s="195">
        <f>M1</f>
        <v>41680</v>
      </c>
      <c r="Q40" s="97"/>
    </row>
    <row r="41" spans="1:41" ht="21" x14ac:dyDescent="0.25">
      <c r="A41" s="156"/>
      <c r="B41" s="156"/>
      <c r="C41" s="210">
        <v>9</v>
      </c>
      <c r="D41" s="145" t="s">
        <v>89</v>
      </c>
      <c r="E41" s="145">
        <f>LOOKUP(G41,'IB-IM et VP'!A:A,'IB-IM et VP'!C:C)</f>
        <v>530</v>
      </c>
      <c r="F41" s="188">
        <f>E41*'IB-IM et VP'!P11</f>
        <v>2468.7797499999997</v>
      </c>
      <c r="G41" s="145">
        <v>633</v>
      </c>
      <c r="H41" s="227" t="s">
        <v>56</v>
      </c>
      <c r="I41" s="156"/>
      <c r="J41" s="210">
        <v>8</v>
      </c>
      <c r="K41" s="145" t="s">
        <v>89</v>
      </c>
      <c r="L41" s="145">
        <f>LOOKUP(N41,'IB-IM et VP'!A:A,'IB-IM et VP'!C:C)</f>
        <v>533</v>
      </c>
      <c r="M41" s="162">
        <f>L41*'IB-IM et VP'!P11</f>
        <v>2482.7539749999996</v>
      </c>
      <c r="N41" s="145">
        <v>637</v>
      </c>
      <c r="P41" s="198">
        <f>M1</f>
        <v>41680</v>
      </c>
      <c r="Q41" s="97"/>
    </row>
    <row r="42" spans="1:41" ht="21" x14ac:dyDescent="0.25">
      <c r="A42" s="156"/>
      <c r="B42" s="156"/>
      <c r="C42" s="210">
        <v>10</v>
      </c>
      <c r="D42" s="145" t="s">
        <v>46</v>
      </c>
      <c r="E42" s="145">
        <f>LOOKUP(G42,'IB-IM et VP'!A:A,'IB-IM et VP'!C:C)</f>
        <v>546</v>
      </c>
      <c r="F42" s="188">
        <f>E42*'IB-IM et VP'!P12</f>
        <v>2543.3089499999996</v>
      </c>
      <c r="G42" s="145">
        <v>655</v>
      </c>
      <c r="H42" s="227" t="s">
        <v>56</v>
      </c>
      <c r="I42" s="156"/>
      <c r="J42" s="210">
        <v>9</v>
      </c>
      <c r="K42" s="145" t="s">
        <v>46</v>
      </c>
      <c r="L42" s="145">
        <f>LOOKUP(N42,'IB-IM et VP'!A:A,'IB-IM et VP'!C:C)</f>
        <v>549</v>
      </c>
      <c r="M42" s="162">
        <f>L42*'IB-IM et VP'!P12</f>
        <v>2557.2831749999996</v>
      </c>
      <c r="N42" s="145">
        <v>658</v>
      </c>
      <c r="O42" s="220"/>
      <c r="P42" s="195">
        <f>M1</f>
        <v>41680</v>
      </c>
      <c r="Q42" s="97"/>
    </row>
    <row r="43" spans="1:41" ht="21" x14ac:dyDescent="0.25">
      <c r="A43" s="156"/>
      <c r="B43" s="156"/>
      <c r="C43" s="210">
        <v>11</v>
      </c>
      <c r="D43" s="159"/>
      <c r="E43" s="145">
        <f>LOOKUP(G43,'IB-IM et VP'!A:A,'IB-IM et VP'!C:C)</f>
        <v>568</v>
      </c>
      <c r="F43" s="188">
        <f>E43*'IB-IM et VP'!P13</f>
        <v>2645.7865999999995</v>
      </c>
      <c r="G43" s="145">
        <v>683</v>
      </c>
      <c r="H43" s="227" t="s">
        <v>56</v>
      </c>
      <c r="I43" s="156"/>
      <c r="J43" s="210">
        <v>10</v>
      </c>
      <c r="K43" s="145" t="s">
        <v>46</v>
      </c>
      <c r="L43" s="145">
        <f>LOOKUP(N43,'IB-IM et VP'!A:A,'IB-IM et VP'!C:C)</f>
        <v>569</v>
      </c>
      <c r="M43" s="162">
        <f>L43*'IB-IM et VP'!P13</f>
        <v>2650.4446749999997</v>
      </c>
      <c r="N43" s="145">
        <v>684</v>
      </c>
      <c r="P43" s="198">
        <f>M1</f>
        <v>41680</v>
      </c>
      <c r="Q43" s="97"/>
    </row>
    <row r="44" spans="1:41" ht="21" x14ac:dyDescent="0.25">
      <c r="A44" s="156"/>
      <c r="B44" s="156"/>
      <c r="C44" s="156"/>
      <c r="D44" s="156"/>
      <c r="E44" s="156"/>
      <c r="F44" s="156"/>
      <c r="G44" s="156"/>
      <c r="H44" s="136"/>
      <c r="I44" s="156"/>
      <c r="J44" s="210">
        <v>11</v>
      </c>
      <c r="K44" s="159"/>
      <c r="L44" s="145">
        <f>LOOKUP(N44,'IB-IM et VP'!A:A,'IB-IM et VP'!C:C)</f>
        <v>582</v>
      </c>
      <c r="M44" s="162">
        <f>L44*'IB-IM et VP'!P14</f>
        <v>2710.9996499999997</v>
      </c>
      <c r="N44" s="145">
        <v>701</v>
      </c>
      <c r="O44" s="223"/>
      <c r="P44" s="224"/>
      <c r="Q44" s="97"/>
    </row>
    <row r="45" spans="1:41" ht="21" x14ac:dyDescent="0.25">
      <c r="A45" s="156"/>
      <c r="B45" s="156"/>
      <c r="C45" s="156"/>
      <c r="D45" s="156"/>
      <c r="E45" s="156"/>
      <c r="F45" s="156"/>
      <c r="G45" s="156"/>
      <c r="H45" s="136"/>
      <c r="I45" s="156"/>
      <c r="J45" s="156"/>
      <c r="K45" s="156"/>
      <c r="L45" s="156"/>
      <c r="M45" s="156"/>
      <c r="N45" s="137"/>
      <c r="O45" s="71"/>
      <c r="P45" s="222"/>
      <c r="Q45" s="71"/>
    </row>
    <row r="47" spans="1:41" customFormat="1" ht="15.75" hidden="1" thickBot="1" x14ac:dyDescent="0.3">
      <c r="AE47" s="101"/>
    </row>
    <row r="48" spans="1:41" s="40" customFormat="1" ht="15" hidden="1" customHeight="1" thickBot="1" x14ac:dyDescent="0.3">
      <c r="A48" s="377">
        <v>42736</v>
      </c>
      <c r="B48" s="378"/>
      <c r="C48" s="379"/>
      <c r="D48" s="380"/>
      <c r="E48" s="42"/>
      <c r="F48" s="43"/>
      <c r="G48" s="43"/>
      <c r="H48" s="381" t="s">
        <v>75</v>
      </c>
      <c r="I48" s="382"/>
      <c r="J48" s="382"/>
      <c r="K48" s="383"/>
      <c r="L48" s="44"/>
      <c r="M48" s="45"/>
      <c r="N48" s="384" t="s">
        <v>76</v>
      </c>
      <c r="O48" s="385"/>
      <c r="P48" s="385"/>
      <c r="Q48" s="386"/>
      <c r="R48" s="44"/>
      <c r="S48" s="45"/>
      <c r="T48" s="384" t="s">
        <v>77</v>
      </c>
      <c r="U48" s="385"/>
      <c r="V48" s="385"/>
      <c r="W48" s="386"/>
      <c r="X48" s="46"/>
      <c r="Y48" s="45"/>
      <c r="Z48" s="384" t="s">
        <v>78</v>
      </c>
      <c r="AA48" s="385"/>
      <c r="AB48" s="385"/>
      <c r="AC48" s="386"/>
      <c r="AE48" s="102"/>
      <c r="AF48" s="384" t="s">
        <v>138</v>
      </c>
      <c r="AG48" s="385"/>
      <c r="AH48" s="385"/>
      <c r="AI48" s="386"/>
      <c r="AK48" s="102"/>
      <c r="AL48" s="384" t="s">
        <v>167</v>
      </c>
      <c r="AM48" s="385"/>
      <c r="AN48" s="385"/>
      <c r="AO48" s="386"/>
    </row>
    <row r="49" spans="1:41" customFormat="1" ht="23.25" hidden="1" thickBot="1" x14ac:dyDescent="0.3">
      <c r="A49" s="74"/>
      <c r="B49" s="47"/>
      <c r="C49" s="48" t="s">
        <v>79</v>
      </c>
      <c r="D49" s="49" t="s">
        <v>80</v>
      </c>
      <c r="E49" s="49"/>
      <c r="F49" s="49"/>
      <c r="G49" s="49"/>
      <c r="H49" s="50" t="s">
        <v>81</v>
      </c>
      <c r="I49" s="51" t="s">
        <v>82</v>
      </c>
      <c r="J49" s="51" t="s">
        <v>83</v>
      </c>
      <c r="K49" s="52" t="s">
        <v>84</v>
      </c>
      <c r="L49" s="53"/>
      <c r="M49" s="54"/>
      <c r="N49" s="50" t="s">
        <v>81</v>
      </c>
      <c r="O49" s="51" t="s">
        <v>82</v>
      </c>
      <c r="P49" s="51" t="s">
        <v>83</v>
      </c>
      <c r="Q49" s="55" t="s">
        <v>84</v>
      </c>
      <c r="R49" s="53"/>
      <c r="S49" s="54"/>
      <c r="T49" s="50" t="s">
        <v>81</v>
      </c>
      <c r="U49" s="51" t="s">
        <v>82</v>
      </c>
      <c r="V49" s="51" t="s">
        <v>83</v>
      </c>
      <c r="W49" s="55" t="s">
        <v>84</v>
      </c>
      <c r="X49" s="56"/>
      <c r="Y49" s="57"/>
      <c r="Z49" s="50" t="s">
        <v>81</v>
      </c>
      <c r="AA49" s="51" t="s">
        <v>82</v>
      </c>
      <c r="AB49" s="51" t="s">
        <v>83</v>
      </c>
      <c r="AC49" s="55" t="s">
        <v>84</v>
      </c>
      <c r="AE49" s="103"/>
      <c r="AF49" s="50" t="s">
        <v>81</v>
      </c>
      <c r="AG49" s="51" t="s">
        <v>82</v>
      </c>
      <c r="AH49" s="51" t="s">
        <v>83</v>
      </c>
      <c r="AI49" s="55" t="s">
        <v>84</v>
      </c>
      <c r="AK49" s="103"/>
      <c r="AL49" s="50" t="s">
        <v>81</v>
      </c>
      <c r="AM49" s="51" t="s">
        <v>82</v>
      </c>
      <c r="AN49" s="51" t="s">
        <v>83</v>
      </c>
      <c r="AO49" s="55" t="s">
        <v>84</v>
      </c>
    </row>
    <row r="50" spans="1:41" customFormat="1" ht="16.5" hidden="1" thickTop="1" thickBot="1" x14ac:dyDescent="0.3">
      <c r="H50" s="12"/>
      <c r="I50" s="12"/>
      <c r="J50" s="12"/>
      <c r="K50" s="12"/>
      <c r="N50" s="12"/>
      <c r="O50" s="12"/>
      <c r="P50" s="12"/>
      <c r="Q50" s="12"/>
      <c r="T50" s="12"/>
      <c r="U50" s="12"/>
      <c r="V50" s="12"/>
      <c r="W50" s="12"/>
      <c r="Z50" s="12"/>
      <c r="AA50" s="12"/>
      <c r="AB50" s="12"/>
      <c r="AC50" s="12"/>
      <c r="AE50" s="101"/>
      <c r="AF50" s="12"/>
      <c r="AG50" s="12"/>
      <c r="AH50" s="12"/>
      <c r="AI50" s="12"/>
      <c r="AK50" s="101"/>
      <c r="AL50" s="12"/>
      <c r="AM50" s="12"/>
      <c r="AN50" s="12"/>
      <c r="AO50" s="12"/>
    </row>
    <row r="51" spans="1:41" customFormat="1" ht="16.5" hidden="1" thickTop="1" thickBot="1" x14ac:dyDescent="0.3">
      <c r="A51" s="121"/>
      <c r="B51" s="41">
        <f>A48</f>
        <v>42736</v>
      </c>
      <c r="C51" s="58">
        <f>M1</f>
        <v>41680</v>
      </c>
      <c r="D51" s="59">
        <f>E51/30.5</f>
        <v>34.622950819672134</v>
      </c>
      <c r="E51" s="60">
        <f>B51-C51</f>
        <v>1056</v>
      </c>
      <c r="F51" s="61"/>
      <c r="G51" s="61">
        <f>E51*1/2</f>
        <v>528</v>
      </c>
      <c r="H51" s="62">
        <f>INT(D51*1/2/12)</f>
        <v>1</v>
      </c>
      <c r="I51" s="63">
        <f>INT(D51*1/2-(H51*12))</f>
        <v>5</v>
      </c>
      <c r="J51" s="64">
        <f>ROUND((D51*1/2-(H51*12)-I51)*30,0)</f>
        <v>9</v>
      </c>
      <c r="K51" s="86">
        <f>B51-G51</f>
        <v>42208</v>
      </c>
      <c r="L51" s="65"/>
      <c r="M51" s="66">
        <f>E51*3/4</f>
        <v>792</v>
      </c>
      <c r="N51" s="62">
        <f>INT(D51*3/4/12)</f>
        <v>2</v>
      </c>
      <c r="O51" s="63">
        <f>INT(D51*3/4-(N51*12))</f>
        <v>1</v>
      </c>
      <c r="P51" s="64">
        <f>ROUND((D51*3/4-(N51*12)-O51)*30,0)</f>
        <v>29</v>
      </c>
      <c r="Q51" s="87">
        <f>B51-M51</f>
        <v>41944</v>
      </c>
      <c r="R51" s="65"/>
      <c r="S51" s="61">
        <f>E51*2/3</f>
        <v>704</v>
      </c>
      <c r="T51" s="62">
        <f>INT(D51*2/3/12)</f>
        <v>1</v>
      </c>
      <c r="U51" s="63">
        <f>INT(D51*2/3-(T51*12))</f>
        <v>11</v>
      </c>
      <c r="V51" s="64">
        <f>ROUND((D51*2/3-(T51*12)-U51)*30,0)</f>
        <v>2</v>
      </c>
      <c r="W51" s="87">
        <f>B51-S51</f>
        <v>42032</v>
      </c>
      <c r="X51" s="67"/>
      <c r="Y51" s="66">
        <f>E51*4/3</f>
        <v>1408</v>
      </c>
      <c r="Z51" s="62">
        <f>INT(D51*4/3/12)</f>
        <v>3</v>
      </c>
      <c r="AA51" s="63">
        <f>INT(D51*4/3-(Z51*12))</f>
        <v>10</v>
      </c>
      <c r="AB51" s="64">
        <f>ROUND((D51*4/3-(Z51*12)-AA51)*30,0)</f>
        <v>5</v>
      </c>
      <c r="AC51" s="87">
        <f>B51-Y51</f>
        <v>41328</v>
      </c>
      <c r="AE51" s="100">
        <f>E51*2</f>
        <v>2112</v>
      </c>
      <c r="AF51" s="62">
        <f>INT(J51*4/3/12)</f>
        <v>1</v>
      </c>
      <c r="AG51" s="63">
        <f>INT(J51*4/3-(AF51*12))</f>
        <v>0</v>
      </c>
      <c r="AH51" s="64">
        <f>ROUND((J51*4/3-(AF51*12)-AG51)*30,0)</f>
        <v>0</v>
      </c>
      <c r="AI51" s="87">
        <f>C51-AE51</f>
        <v>39568</v>
      </c>
      <c r="AK51" s="100">
        <f>E51*3</f>
        <v>3168</v>
      </c>
      <c r="AL51" s="62">
        <f>INT(P51*4/3/12)</f>
        <v>3</v>
      </c>
      <c r="AM51" s="63">
        <f>INT(P51*4/3-(AL51*12))</f>
        <v>2</v>
      </c>
      <c r="AN51" s="64">
        <f>ROUND((P51*4/3-(AL51*12)-AM51)*30,0)</f>
        <v>20</v>
      </c>
      <c r="AO51" s="87">
        <f>C51-AK51</f>
        <v>38512</v>
      </c>
    </row>
    <row r="52" spans="1:41" customFormat="1" hidden="1" x14ac:dyDescent="0.25">
      <c r="B52" s="41"/>
      <c r="C52" s="75"/>
      <c r="D52" s="76"/>
      <c r="E52" s="60"/>
      <c r="F52" s="61"/>
      <c r="G52" s="61"/>
      <c r="H52" s="70"/>
      <c r="I52" s="70"/>
      <c r="J52" s="73"/>
      <c r="K52" s="77"/>
      <c r="L52" s="61"/>
      <c r="M52" s="66"/>
      <c r="N52" s="70"/>
      <c r="O52" s="70"/>
      <c r="P52" s="73"/>
      <c r="Q52" s="67"/>
      <c r="R52" s="61"/>
      <c r="S52" s="61"/>
      <c r="T52" s="70"/>
      <c r="U52" s="70"/>
      <c r="V52" s="73"/>
      <c r="W52" s="67"/>
      <c r="X52" s="67"/>
      <c r="Y52" s="66"/>
      <c r="Z52" s="70"/>
      <c r="AA52" s="70"/>
      <c r="AB52" s="73"/>
      <c r="AC52" s="67"/>
      <c r="AE52" s="101"/>
    </row>
    <row r="53" spans="1:41" customFormat="1" ht="15.75" hidden="1" thickBot="1" x14ac:dyDescent="0.3">
      <c r="F53" s="12"/>
      <c r="AE53" s="101"/>
    </row>
    <row r="54" spans="1:41" customFormat="1" ht="12.75" hidden="1" customHeight="1" x14ac:dyDescent="0.25">
      <c r="F54" s="12"/>
      <c r="H54" s="381" t="s">
        <v>85</v>
      </c>
      <c r="I54" s="382"/>
      <c r="J54" s="382"/>
      <c r="K54" s="383"/>
      <c r="N54" s="384" t="s">
        <v>90</v>
      </c>
      <c r="O54" s="385"/>
      <c r="P54" s="385"/>
      <c r="Q54" s="386"/>
      <c r="T54" s="384" t="s">
        <v>91</v>
      </c>
      <c r="U54" s="385"/>
      <c r="V54" s="385"/>
      <c r="W54" s="386"/>
      <c r="Z54" s="384" t="s">
        <v>132</v>
      </c>
      <c r="AA54" s="385"/>
      <c r="AB54" s="385"/>
      <c r="AC54" s="386"/>
      <c r="AE54" s="101"/>
      <c r="AF54" s="384" t="s">
        <v>141</v>
      </c>
      <c r="AG54" s="385"/>
      <c r="AH54" s="385"/>
      <c r="AI54" s="386"/>
    </row>
    <row r="55" spans="1:41" customFormat="1" ht="23.25" hidden="1" thickBot="1" x14ac:dyDescent="0.3">
      <c r="F55" s="12"/>
      <c r="H55" s="50" t="s">
        <v>81</v>
      </c>
      <c r="I55" s="51" t="s">
        <v>82</v>
      </c>
      <c r="J55" s="51" t="s">
        <v>83</v>
      </c>
      <c r="K55" s="55" t="s">
        <v>84</v>
      </c>
      <c r="N55" s="50" t="s">
        <v>81</v>
      </c>
      <c r="O55" s="51" t="s">
        <v>82</v>
      </c>
      <c r="P55" s="51" t="s">
        <v>83</v>
      </c>
      <c r="Q55" s="55" t="s">
        <v>84</v>
      </c>
      <c r="T55" s="50" t="s">
        <v>81</v>
      </c>
      <c r="U55" s="51" t="s">
        <v>82</v>
      </c>
      <c r="V55" s="51" t="s">
        <v>83</v>
      </c>
      <c r="W55" s="55" t="s">
        <v>84</v>
      </c>
      <c r="Z55" s="50" t="s">
        <v>81</v>
      </c>
      <c r="AA55" s="51" t="s">
        <v>82</v>
      </c>
      <c r="AB55" s="51" t="s">
        <v>83</v>
      </c>
      <c r="AC55" s="55" t="s">
        <v>84</v>
      </c>
      <c r="AE55" s="101"/>
      <c r="AF55" s="50" t="s">
        <v>81</v>
      </c>
      <c r="AG55" s="51" t="s">
        <v>82</v>
      </c>
      <c r="AH55" s="51" t="s">
        <v>83</v>
      </c>
      <c r="AI55" s="55" t="s">
        <v>84</v>
      </c>
    </row>
    <row r="56" spans="1:41" customFormat="1" ht="6" hidden="1" customHeight="1" thickBot="1" x14ac:dyDescent="0.3">
      <c r="F56" s="12"/>
      <c r="AE56" s="101"/>
    </row>
    <row r="57" spans="1:41" customFormat="1" ht="16.5" hidden="1" thickTop="1" thickBot="1" x14ac:dyDescent="0.3">
      <c r="A57" s="121"/>
      <c r="B57" s="41">
        <f>A48</f>
        <v>42736</v>
      </c>
      <c r="C57" s="58">
        <f>M1</f>
        <v>41680</v>
      </c>
      <c r="D57" s="59">
        <f>E57/30.5</f>
        <v>34.622950819672134</v>
      </c>
      <c r="E57" s="60">
        <f>B57-C57</f>
        <v>1056</v>
      </c>
      <c r="F57" s="61"/>
      <c r="G57" s="61">
        <f>E57*3/2</f>
        <v>1584</v>
      </c>
      <c r="H57" s="62">
        <f>INT(D57*3/2/12)</f>
        <v>4</v>
      </c>
      <c r="I57" s="63">
        <f>INT(D57*3/2-(H57*12))</f>
        <v>3</v>
      </c>
      <c r="J57" s="64">
        <f>ROUND((D57*3/2-(H57*12)-I57)*30,0)</f>
        <v>28</v>
      </c>
      <c r="K57" s="86">
        <f>B57-G57</f>
        <v>41152</v>
      </c>
      <c r="L57" s="65"/>
      <c r="M57" s="66">
        <f>E57*5/4</f>
        <v>1320</v>
      </c>
      <c r="N57" s="62">
        <f>INT(D57*5/4/12)</f>
        <v>3</v>
      </c>
      <c r="O57" s="63">
        <f>INT(D57*5/4-(N57*12))</f>
        <v>7</v>
      </c>
      <c r="P57" s="64">
        <f>ROUND((D57*5/4-(N57*12)-O57)*30,0)</f>
        <v>8</v>
      </c>
      <c r="Q57" s="87">
        <f>B57-M57</f>
        <v>41416</v>
      </c>
      <c r="R57" s="65"/>
      <c r="S57" s="61">
        <f>E57*5/6</f>
        <v>880</v>
      </c>
      <c r="T57" s="62">
        <f>INT(D57*5/6/12)</f>
        <v>2</v>
      </c>
      <c r="U57" s="63">
        <f>INT(D57*5/6-(T57*12))</f>
        <v>4</v>
      </c>
      <c r="V57" s="64">
        <f>ROUND((D57*5/6-(T57*12)-U57)*30,0)</f>
        <v>26</v>
      </c>
      <c r="W57" s="87">
        <f>B57-S57</f>
        <v>41856</v>
      </c>
      <c r="X57" s="67"/>
      <c r="Y57" s="66">
        <f>E57*7/6</f>
        <v>1232</v>
      </c>
      <c r="Z57" s="62">
        <f>INT(D57*7/6/12)</f>
        <v>3</v>
      </c>
      <c r="AA57" s="63">
        <f>INT(D57*7/6-(Z57*12))</f>
        <v>4</v>
      </c>
      <c r="AB57" s="64">
        <f>ROUND((D57*7/6-(Z57*12)-AA57)*30,0)</f>
        <v>12</v>
      </c>
      <c r="AC57" s="87">
        <f>B57-Y57</f>
        <v>41504</v>
      </c>
      <c r="AE57" s="100">
        <f>E57*6/7</f>
        <v>905.14285714285711</v>
      </c>
      <c r="AF57" s="62">
        <f>INT(J57*7/6/12)</f>
        <v>2</v>
      </c>
      <c r="AG57" s="63">
        <f>INT(J57*7/6-(AF57*12))</f>
        <v>8</v>
      </c>
      <c r="AH57" s="64">
        <f>ROUND((J57*7/6-(AF57*12)-AG57)*30,0)</f>
        <v>20</v>
      </c>
      <c r="AI57" s="87">
        <f>B57-AE57</f>
        <v>41830.857142857145</v>
      </c>
    </row>
    <row r="58" spans="1:41" customFormat="1" hidden="1" x14ac:dyDescent="0.25">
      <c r="F58" s="12"/>
      <c r="AE58" s="101"/>
    </row>
    <row r="59" spans="1:41" customFormat="1" ht="15.75" hidden="1" thickBot="1" x14ac:dyDescent="0.3">
      <c r="F59" s="12"/>
      <c r="AE59" s="101"/>
    </row>
    <row r="60" spans="1:41" customFormat="1" ht="27.75" hidden="1" customHeight="1" x14ac:dyDescent="0.25">
      <c r="F60" s="12"/>
      <c r="H60" s="384" t="s">
        <v>92</v>
      </c>
      <c r="I60" s="385"/>
      <c r="J60" s="385"/>
      <c r="K60" s="386"/>
      <c r="N60" s="384" t="s">
        <v>93</v>
      </c>
      <c r="O60" s="385"/>
      <c r="P60" s="385"/>
      <c r="Q60" s="386"/>
      <c r="T60" s="384" t="s">
        <v>142</v>
      </c>
      <c r="U60" s="385"/>
      <c r="V60" s="385"/>
      <c r="W60" s="386"/>
      <c r="AE60" s="101"/>
    </row>
    <row r="61" spans="1:41" customFormat="1" ht="23.25" hidden="1" thickBot="1" x14ac:dyDescent="0.3">
      <c r="F61" s="12"/>
      <c r="H61" s="50" t="s">
        <v>81</v>
      </c>
      <c r="I61" s="51" t="s">
        <v>82</v>
      </c>
      <c r="J61" s="51" t="s">
        <v>83</v>
      </c>
      <c r="K61" s="55" t="s">
        <v>84</v>
      </c>
      <c r="N61" s="50" t="s">
        <v>81</v>
      </c>
      <c r="O61" s="51" t="s">
        <v>82</v>
      </c>
      <c r="P61" s="51" t="s">
        <v>83</v>
      </c>
      <c r="Q61" s="55" t="s">
        <v>84</v>
      </c>
      <c r="T61" s="50"/>
      <c r="U61" s="51"/>
      <c r="V61" s="51"/>
      <c r="W61" s="55"/>
      <c r="AE61" s="101"/>
    </row>
    <row r="62" spans="1:41" customFormat="1" ht="6" hidden="1" customHeight="1" thickBot="1" x14ac:dyDescent="0.3">
      <c r="F62" s="12"/>
      <c r="AE62" s="101"/>
    </row>
    <row r="63" spans="1:41" customFormat="1" ht="16.5" hidden="1" thickTop="1" thickBot="1" x14ac:dyDescent="0.3">
      <c r="A63" s="121"/>
      <c r="B63" s="41">
        <f>A48</f>
        <v>42736</v>
      </c>
      <c r="C63" s="58">
        <f>M1+(6*30.5)-1</f>
        <v>41862</v>
      </c>
      <c r="D63" s="59">
        <f>E63/30.5</f>
        <v>28.655737704918032</v>
      </c>
      <c r="E63" s="60">
        <f>B63-C63</f>
        <v>874</v>
      </c>
      <c r="F63" s="61"/>
      <c r="G63" s="61">
        <f>E63*2/3</f>
        <v>582.66666666666663</v>
      </c>
      <c r="H63" s="62">
        <f>INT(D63*2/3/12)</f>
        <v>1</v>
      </c>
      <c r="I63" s="63">
        <f>INT(D63*2/3-(H63*12))</f>
        <v>7</v>
      </c>
      <c r="J63" s="64">
        <f>ROUND((D63*2/3-(H63*12)-I63)*30,0)</f>
        <v>3</v>
      </c>
      <c r="K63" s="86">
        <f>B63-G63</f>
        <v>42153.333333333336</v>
      </c>
      <c r="L63" s="65"/>
      <c r="M63" s="66">
        <f>E63*4/3</f>
        <v>1165.3333333333333</v>
      </c>
      <c r="N63" s="62">
        <f>INT(D63*4/3/12)</f>
        <v>3</v>
      </c>
      <c r="O63" s="63">
        <f>INT(D63*4/3-(N63*12))</f>
        <v>2</v>
      </c>
      <c r="P63" s="64">
        <f>ROUND((D63*4/3-(N63*12)-O63)*30,0)</f>
        <v>6</v>
      </c>
      <c r="Q63" s="87">
        <f>B63-M63</f>
        <v>41570.666666666664</v>
      </c>
      <c r="R63" s="61"/>
      <c r="S63" s="61">
        <f>E51*1/3</f>
        <v>352</v>
      </c>
      <c r="T63" s="62">
        <f>INT(D51*1/3/12)</f>
        <v>0</v>
      </c>
      <c r="U63" s="63">
        <f>INT(D51*1/3-(T63*12))</f>
        <v>11</v>
      </c>
      <c r="V63" s="64">
        <f>ROUND((D51*1/3-(T63*12)-U63)*30,0)</f>
        <v>16</v>
      </c>
      <c r="W63" s="87">
        <f>B51-S63</f>
        <v>42384</v>
      </c>
      <c r="X63" s="67"/>
      <c r="Y63" s="66"/>
      <c r="Z63" s="70"/>
      <c r="AA63" s="70"/>
      <c r="AB63" s="73"/>
      <c r="AC63" s="67"/>
      <c r="AE63" s="101"/>
    </row>
    <row r="64" spans="1:41" customFormat="1" hidden="1" x14ac:dyDescent="0.25">
      <c r="F64" s="12"/>
      <c r="AE64" s="101"/>
    </row>
    <row r="65" spans="1:31" customFormat="1" ht="15.75" hidden="1" thickBot="1" x14ac:dyDescent="0.3">
      <c r="F65" s="12"/>
      <c r="AE65" s="101"/>
    </row>
    <row r="66" spans="1:31" customFormat="1" ht="27.75" hidden="1" customHeight="1" x14ac:dyDescent="0.25">
      <c r="F66" s="12"/>
      <c r="H66" s="384" t="s">
        <v>139</v>
      </c>
      <c r="I66" s="385"/>
      <c r="J66" s="385"/>
      <c r="K66" s="386"/>
      <c r="AE66" s="101"/>
    </row>
    <row r="67" spans="1:31" customFormat="1" ht="23.25" hidden="1" thickBot="1" x14ac:dyDescent="0.3">
      <c r="F67" s="12"/>
      <c r="H67" s="50" t="s">
        <v>81</v>
      </c>
      <c r="I67" s="51" t="s">
        <v>82</v>
      </c>
      <c r="J67" s="51" t="s">
        <v>83</v>
      </c>
      <c r="K67" s="55" t="s">
        <v>84</v>
      </c>
      <c r="AE67" s="101"/>
    </row>
    <row r="68" spans="1:31" customFormat="1" ht="15.75" hidden="1" thickBot="1" x14ac:dyDescent="0.3">
      <c r="F68" s="12"/>
      <c r="AE68" s="101"/>
    </row>
    <row r="69" spans="1:31" customFormat="1" ht="16.5" hidden="1" thickTop="1" thickBot="1" x14ac:dyDescent="0.3">
      <c r="B69" s="41">
        <f>A48</f>
        <v>42736</v>
      </c>
      <c r="C69" s="58">
        <f>M1+(12*30.5)-1</f>
        <v>42045</v>
      </c>
      <c r="D69" s="59">
        <f>E69/30.5</f>
        <v>22.655737704918032</v>
      </c>
      <c r="E69" s="60">
        <f>B69-C69</f>
        <v>691</v>
      </c>
      <c r="F69" s="12"/>
      <c r="G69" s="68">
        <f>E69</f>
        <v>691</v>
      </c>
      <c r="H69" s="62">
        <f>INT(D69*2/3/12)</f>
        <v>1</v>
      </c>
      <c r="I69" s="63">
        <f>INT(D69*2/3-(H69*12))</f>
        <v>3</v>
      </c>
      <c r="J69" s="64">
        <f>ROUND((D69*2/3-(H69*12)-I69)*30,0)</f>
        <v>3</v>
      </c>
      <c r="K69" s="86">
        <f>B69-G69</f>
        <v>42045</v>
      </c>
      <c r="AE69" s="101"/>
    </row>
    <row r="70" spans="1:31" customFormat="1" hidden="1" x14ac:dyDescent="0.25">
      <c r="F70" s="12"/>
      <c r="AE70" s="101"/>
    </row>
    <row r="71" spans="1:31" customFormat="1" ht="15.75" hidden="1" thickBot="1" x14ac:dyDescent="0.3">
      <c r="F71" s="12"/>
      <c r="AE71" s="101"/>
    </row>
    <row r="72" spans="1:31" customFormat="1" ht="27.75" hidden="1" customHeight="1" x14ac:dyDescent="0.25">
      <c r="F72" s="12"/>
      <c r="H72" s="384" t="s">
        <v>94</v>
      </c>
      <c r="I72" s="385"/>
      <c r="J72" s="385"/>
      <c r="K72" s="386"/>
      <c r="N72" s="384" t="s">
        <v>95</v>
      </c>
      <c r="O72" s="385"/>
      <c r="P72" s="385"/>
      <c r="Q72" s="386"/>
      <c r="AE72" s="101"/>
    </row>
    <row r="73" spans="1:31" customFormat="1" ht="23.25" hidden="1" thickBot="1" x14ac:dyDescent="0.3">
      <c r="F73" s="12"/>
      <c r="H73" s="50" t="s">
        <v>81</v>
      </c>
      <c r="I73" s="51" t="s">
        <v>82</v>
      </c>
      <c r="J73" s="51" t="s">
        <v>83</v>
      </c>
      <c r="K73" s="55" t="s">
        <v>84</v>
      </c>
      <c r="N73" s="50" t="s">
        <v>81</v>
      </c>
      <c r="O73" s="51" t="s">
        <v>82</v>
      </c>
      <c r="P73" s="51" t="s">
        <v>83</v>
      </c>
      <c r="Q73" s="55" t="s">
        <v>84</v>
      </c>
      <c r="AE73" s="101"/>
    </row>
    <row r="74" spans="1:31" customFormat="1" ht="6" hidden="1" customHeight="1" thickBot="1" x14ac:dyDescent="0.3">
      <c r="F74" s="12"/>
      <c r="AE74" s="101"/>
    </row>
    <row r="75" spans="1:31" customFormat="1" ht="16.5" hidden="1" thickTop="1" thickBot="1" x14ac:dyDescent="0.3">
      <c r="A75" s="121"/>
      <c r="B75" s="41">
        <f>A48</f>
        <v>42736</v>
      </c>
      <c r="C75" s="58">
        <f>M1+(18*30.5)-1</f>
        <v>42228</v>
      </c>
      <c r="D75" s="59">
        <f>E75/30.5</f>
        <v>16.655737704918032</v>
      </c>
      <c r="E75" s="60">
        <f>B75-C75</f>
        <v>508</v>
      </c>
      <c r="F75" s="61"/>
      <c r="G75" s="61">
        <f>E75*5/3</f>
        <v>846.66666666666663</v>
      </c>
      <c r="H75" s="62">
        <f>INT(D75*5/3/12)</f>
        <v>2</v>
      </c>
      <c r="I75" s="63">
        <f>INT(D75*5/3-(H75*12))</f>
        <v>3</v>
      </c>
      <c r="J75" s="64">
        <f>ROUND((D75*5/3-(H75*12)-I75)*30,0)</f>
        <v>23</v>
      </c>
      <c r="K75" s="86">
        <f>B75-G75</f>
        <v>41889.333333333336</v>
      </c>
      <c r="L75" s="65"/>
      <c r="M75" s="66">
        <f>E75*8/3</f>
        <v>1354.6666666666667</v>
      </c>
      <c r="N75" s="62">
        <f>INT(D75*8/3/12)</f>
        <v>3</v>
      </c>
      <c r="O75" s="63">
        <f>INT(D75*8/3-(N75*12))</f>
        <v>8</v>
      </c>
      <c r="P75" s="64">
        <f>ROUND((D75*8/3-(N75*12)-O75)*30,0)</f>
        <v>12</v>
      </c>
      <c r="Q75" s="87">
        <f>B75-M75</f>
        <v>41381.333333333336</v>
      </c>
      <c r="R75" s="61"/>
      <c r="S75" s="61"/>
      <c r="T75" s="70"/>
      <c r="U75" s="70"/>
      <c r="V75" s="73"/>
      <c r="W75" s="67"/>
      <c r="X75" s="67"/>
      <c r="Y75" s="66"/>
      <c r="Z75" s="70"/>
      <c r="AA75" s="70"/>
      <c r="AB75" s="73"/>
      <c r="AC75" s="67"/>
      <c r="AE75" s="101"/>
    </row>
    <row r="76" spans="1:31" customFormat="1" hidden="1" x14ac:dyDescent="0.25">
      <c r="F76" s="12"/>
      <c r="AE76" s="101"/>
    </row>
    <row r="77" spans="1:31" customFormat="1" ht="15.75" hidden="1" thickBot="1" x14ac:dyDescent="0.3">
      <c r="F77" s="12"/>
      <c r="AE77" s="101"/>
    </row>
    <row r="78" spans="1:31" customFormat="1" ht="27.75" hidden="1" customHeight="1" x14ac:dyDescent="0.25">
      <c r="F78" s="12"/>
      <c r="H78" s="384" t="s">
        <v>96</v>
      </c>
      <c r="I78" s="385"/>
      <c r="J78" s="385"/>
      <c r="K78" s="386"/>
      <c r="N78" s="384" t="s">
        <v>140</v>
      </c>
      <c r="O78" s="385"/>
      <c r="P78" s="385"/>
      <c r="Q78" s="386"/>
      <c r="AE78" s="101"/>
    </row>
    <row r="79" spans="1:31" customFormat="1" ht="23.25" hidden="1" thickBot="1" x14ac:dyDescent="0.3">
      <c r="F79" s="12"/>
      <c r="H79" s="50" t="s">
        <v>81</v>
      </c>
      <c r="I79" s="51" t="s">
        <v>82</v>
      </c>
      <c r="J79" s="51" t="s">
        <v>83</v>
      </c>
      <c r="K79" s="55" t="s">
        <v>84</v>
      </c>
      <c r="N79" s="50" t="s">
        <v>81</v>
      </c>
      <c r="O79" s="51" t="s">
        <v>82</v>
      </c>
      <c r="P79" s="51" t="s">
        <v>83</v>
      </c>
      <c r="Q79" s="55" t="s">
        <v>84</v>
      </c>
      <c r="AE79" s="101"/>
    </row>
    <row r="80" spans="1:31" customFormat="1" ht="6" hidden="1" customHeight="1" thickBot="1" x14ac:dyDescent="0.3">
      <c r="F80" s="12"/>
      <c r="AE80" s="101"/>
    </row>
    <row r="81" spans="1:31" customFormat="1" ht="16.5" hidden="1" thickTop="1" thickBot="1" x14ac:dyDescent="0.3">
      <c r="A81" s="121"/>
      <c r="B81" s="41">
        <f>A48</f>
        <v>42736</v>
      </c>
      <c r="C81" s="58">
        <f>M1+(24*30.5)-1</f>
        <v>42411</v>
      </c>
      <c r="D81" s="59">
        <f>E81/30.5</f>
        <v>10.655737704918034</v>
      </c>
      <c r="E81" s="60">
        <f>B81-C81</f>
        <v>325</v>
      </c>
      <c r="F81" s="61"/>
      <c r="G81" s="61">
        <f>E81*5/4</f>
        <v>406.25</v>
      </c>
      <c r="H81" s="62">
        <f>INT(D81*5/4/12)</f>
        <v>1</v>
      </c>
      <c r="I81" s="63">
        <f>INT(D81*5/4-(H81*12))</f>
        <v>1</v>
      </c>
      <c r="J81" s="64">
        <f>ROUND((D81*5/4-(H81*12)-I81)*30,0)</f>
        <v>10</v>
      </c>
      <c r="K81" s="86">
        <f>B81-G81</f>
        <v>42329.75</v>
      </c>
      <c r="L81" s="61"/>
      <c r="M81" s="68">
        <f>E81</f>
        <v>325</v>
      </c>
      <c r="N81" s="62">
        <f>INT(J81/12)</f>
        <v>0</v>
      </c>
      <c r="O81" s="63">
        <f>INT(J81-(N81*12))</f>
        <v>10</v>
      </c>
      <c r="P81" s="64">
        <f>ROUND((J81-(N81*12)-O81)*30,0)</f>
        <v>0</v>
      </c>
      <c r="Q81" s="86">
        <f>B81-M81</f>
        <v>42411</v>
      </c>
      <c r="R81" s="61"/>
      <c r="S81" s="61"/>
      <c r="T81" s="70"/>
      <c r="U81" s="70"/>
      <c r="V81" s="73"/>
      <c r="W81" s="67"/>
      <c r="X81" s="67"/>
      <c r="Y81" s="66"/>
      <c r="Z81" s="70"/>
      <c r="AA81" s="70"/>
      <c r="AB81" s="73"/>
      <c r="AC81" s="67"/>
      <c r="AE81" s="101"/>
    </row>
    <row r="82" spans="1:31" customFormat="1" hidden="1" x14ac:dyDescent="0.25">
      <c r="F82" s="12"/>
      <c r="AE82" s="101"/>
    </row>
    <row r="83" spans="1:31" customFormat="1" ht="15.75" hidden="1" thickBot="1" x14ac:dyDescent="0.3">
      <c r="AE83" s="101"/>
    </row>
    <row r="84" spans="1:31" customFormat="1" ht="27.75" hidden="1" customHeight="1" x14ac:dyDescent="0.25">
      <c r="F84" s="12"/>
      <c r="H84" s="384" t="s">
        <v>164</v>
      </c>
      <c r="I84" s="385"/>
      <c r="J84" s="385"/>
      <c r="K84" s="386"/>
      <c r="AE84" s="101"/>
    </row>
    <row r="85" spans="1:31" customFormat="1" ht="23.25" hidden="1" thickBot="1" x14ac:dyDescent="0.3">
      <c r="F85" s="12"/>
      <c r="H85" s="50" t="s">
        <v>81</v>
      </c>
      <c r="I85" s="51" t="s">
        <v>82</v>
      </c>
      <c r="J85" s="51" t="s">
        <v>83</v>
      </c>
      <c r="K85" s="55" t="s">
        <v>84</v>
      </c>
      <c r="AE85" s="101"/>
    </row>
    <row r="86" spans="1:31" customFormat="1" ht="15.75" hidden="1" thickBot="1" x14ac:dyDescent="0.3">
      <c r="F86" s="12"/>
      <c r="AE86" s="101"/>
    </row>
    <row r="87" spans="1:31" customFormat="1" ht="16.5" hidden="1" thickTop="1" thickBot="1" x14ac:dyDescent="0.3">
      <c r="B87" s="41">
        <f>A48</f>
        <v>42736</v>
      </c>
      <c r="C87" s="58">
        <f>M1+(36*30.5)-1</f>
        <v>42777</v>
      </c>
      <c r="D87" s="59">
        <f>E87/30.5</f>
        <v>-1.3442622950819672</v>
      </c>
      <c r="E87" s="60">
        <f>B87-C87</f>
        <v>-41</v>
      </c>
      <c r="F87" s="61"/>
      <c r="G87" s="61">
        <f>E87*3</f>
        <v>-123</v>
      </c>
      <c r="H87" s="62">
        <f>INT(D87*5/4/12)</f>
        <v>-1</v>
      </c>
      <c r="I87" s="63">
        <f>INT(D87*5/4-(H87*12))</f>
        <v>10</v>
      </c>
      <c r="J87" s="64">
        <f>ROUND((D87*5/4-(H87*12)-I87)*30,0)</f>
        <v>10</v>
      </c>
      <c r="K87" s="86">
        <f>B87-G87</f>
        <v>42859</v>
      </c>
      <c r="AE87" s="101"/>
    </row>
    <row r="88" spans="1:31" customFormat="1" hidden="1" x14ac:dyDescent="0.25">
      <c r="AE88" s="101"/>
    </row>
    <row r="89" spans="1:31" hidden="1" x14ac:dyDescent="0.25"/>
    <row r="90" spans="1:31" hidden="1" x14ac:dyDescent="0.25"/>
  </sheetData>
  <sheetProtection password="EB30" sheet="1" objects="1" scenarios="1" selectLockedCells="1"/>
  <mergeCells count="32">
    <mergeCell ref="B1:C1"/>
    <mergeCell ref="J13:J14"/>
    <mergeCell ref="C7:D7"/>
    <mergeCell ref="H7:M7"/>
    <mergeCell ref="I1:L1"/>
    <mergeCell ref="M1:Q1"/>
    <mergeCell ref="B2:F2"/>
    <mergeCell ref="B4:C4"/>
    <mergeCell ref="A48:B48"/>
    <mergeCell ref="C48:D48"/>
    <mergeCell ref="H48:K48"/>
    <mergeCell ref="N48:Q48"/>
    <mergeCell ref="T48:W48"/>
    <mergeCell ref="AF48:AI48"/>
    <mergeCell ref="AL48:AO48"/>
    <mergeCell ref="H54:K54"/>
    <mergeCell ref="N54:Q54"/>
    <mergeCell ref="T54:W54"/>
    <mergeCell ref="Z54:AC54"/>
    <mergeCell ref="AF54:AI54"/>
    <mergeCell ref="T60:W60"/>
    <mergeCell ref="H66:K66"/>
    <mergeCell ref="H72:K72"/>
    <mergeCell ref="N72:Q72"/>
    <mergeCell ref="Z48:AC48"/>
    <mergeCell ref="H78:K78"/>
    <mergeCell ref="N78:Q78"/>
    <mergeCell ref="H84:K84"/>
    <mergeCell ref="P7:P10"/>
    <mergeCell ref="H60:K60"/>
    <mergeCell ref="N60:Q60"/>
    <mergeCell ref="J33:J34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P114"/>
  <sheetViews>
    <sheetView showGridLines="0" zoomScale="80" zoomScaleNormal="80" workbookViewId="0">
      <selection activeCell="M1" sqref="M1:Q1"/>
    </sheetView>
  </sheetViews>
  <sheetFormatPr baseColWidth="10" defaultRowHeight="15" x14ac:dyDescent="0.25"/>
  <cols>
    <col min="1" max="1" width="5.140625" style="36" customWidth="1"/>
    <col min="2" max="2" width="11.42578125" style="36"/>
    <col min="3" max="4" width="11.42578125" style="37"/>
    <col min="5" max="5" width="11.42578125" style="37" customWidth="1"/>
    <col min="6" max="6" width="12.85546875" style="113" customWidth="1"/>
    <col min="7" max="8" width="14" style="37" customWidth="1"/>
    <col min="9" max="9" width="14" style="83" customWidth="1"/>
    <col min="10" max="10" width="11.42578125" style="37"/>
    <col min="11" max="12" width="11.42578125" style="36"/>
    <col min="13" max="13" width="11.42578125" style="119"/>
    <col min="14" max="14" width="14.85546875" style="36" customWidth="1"/>
    <col min="15" max="15" width="6.7109375" style="91" customWidth="1"/>
    <col min="16" max="16" width="18" style="36" customWidth="1"/>
    <col min="17" max="17" width="11.42578125" style="37"/>
    <col min="18" max="19" width="11.42578125" style="36"/>
    <col min="20" max="20" width="11.42578125" style="119" customWidth="1"/>
    <col min="21" max="21" width="11.42578125" style="36"/>
    <col min="22" max="22" width="3.42578125" style="36" customWidth="1"/>
    <col min="23" max="23" width="21.140625" style="193" customWidth="1"/>
    <col min="24" max="16384" width="11.42578125" style="36"/>
  </cols>
  <sheetData>
    <row r="1" spans="2:23" ht="27" thickBot="1" x14ac:dyDescent="0.3">
      <c r="C1" s="189"/>
      <c r="D1" s="189"/>
      <c r="E1" s="189"/>
      <c r="G1" s="189"/>
      <c r="H1" s="189"/>
      <c r="I1" s="348" t="s">
        <v>165</v>
      </c>
      <c r="J1" s="349"/>
      <c r="K1" s="349"/>
      <c r="L1" s="361"/>
      <c r="M1" s="362">
        <v>41680</v>
      </c>
      <c r="N1" s="363"/>
      <c r="O1" s="363"/>
      <c r="P1" s="363"/>
      <c r="Q1" s="363"/>
    </row>
    <row r="2" spans="2:23" x14ac:dyDescent="0.25">
      <c r="C2" s="189"/>
      <c r="D2" s="189"/>
      <c r="E2" s="189"/>
      <c r="G2" s="189"/>
      <c r="H2" s="189"/>
      <c r="J2" s="189"/>
      <c r="O2" s="189"/>
      <c r="Q2" s="189"/>
    </row>
    <row r="3" spans="2:23" x14ac:dyDescent="0.25">
      <c r="B3" s="429"/>
      <c r="C3" s="429"/>
      <c r="D3" s="71"/>
      <c r="E3" s="83"/>
      <c r="F3" s="324"/>
      <c r="G3" s="83"/>
      <c r="I3" s="105" t="s">
        <v>101</v>
      </c>
      <c r="J3" s="427" t="s">
        <v>102</v>
      </c>
      <c r="K3" s="428"/>
      <c r="L3" s="79" t="s">
        <v>133</v>
      </c>
      <c r="M3" s="114" t="s">
        <v>103</v>
      </c>
      <c r="N3" s="79" t="s">
        <v>104</v>
      </c>
      <c r="Q3" s="426"/>
      <c r="R3" s="426"/>
    </row>
    <row r="4" spans="2:23" x14ac:dyDescent="0.25">
      <c r="B4" s="219"/>
      <c r="C4" s="71"/>
      <c r="D4" s="83"/>
      <c r="E4" s="69"/>
      <c r="F4" s="117"/>
      <c r="G4" s="69"/>
      <c r="I4" s="112" t="s">
        <v>162</v>
      </c>
      <c r="J4" s="427" t="s">
        <v>163</v>
      </c>
      <c r="K4" s="428"/>
      <c r="L4" s="81" t="s">
        <v>65</v>
      </c>
      <c r="M4" s="115" t="s">
        <v>48</v>
      </c>
      <c r="N4" s="81" t="s">
        <v>49</v>
      </c>
      <c r="P4" s="80"/>
      <c r="Q4" s="71"/>
      <c r="R4" s="83"/>
    </row>
    <row r="5" spans="2:23" x14ac:dyDescent="0.25">
      <c r="B5" s="430"/>
      <c r="C5" s="430"/>
      <c r="D5" s="83"/>
      <c r="E5" s="69"/>
      <c r="F5" s="117"/>
      <c r="G5" s="69"/>
      <c r="I5" s="36"/>
      <c r="K5" s="37"/>
      <c r="L5" s="82" t="s">
        <v>48</v>
      </c>
      <c r="M5" s="116" t="s">
        <v>49</v>
      </c>
      <c r="N5" s="82" t="s">
        <v>105</v>
      </c>
      <c r="R5" s="37"/>
    </row>
    <row r="6" spans="2:23" x14ac:dyDescent="0.25">
      <c r="C6" s="261"/>
      <c r="D6" s="261"/>
      <c r="E6" s="69"/>
      <c r="F6" s="117"/>
      <c r="G6" s="69"/>
      <c r="H6" s="261"/>
      <c r="I6" s="36"/>
      <c r="J6" s="261"/>
      <c r="K6" s="261"/>
      <c r="L6" s="69"/>
      <c r="M6" s="117"/>
      <c r="N6" s="69"/>
      <c r="O6" s="261"/>
      <c r="Q6" s="261"/>
      <c r="R6" s="261"/>
      <c r="W6" s="261"/>
    </row>
    <row r="7" spans="2:23" ht="15.75" thickBot="1" x14ac:dyDescent="0.3">
      <c r="C7" s="261"/>
      <c r="D7" s="261"/>
      <c r="E7" s="69"/>
      <c r="F7" s="117"/>
      <c r="G7" s="69"/>
      <c r="H7" s="261"/>
      <c r="I7" s="36"/>
      <c r="J7" s="261"/>
      <c r="K7" s="261"/>
      <c r="L7" s="69"/>
      <c r="M7" s="117"/>
      <c r="N7" s="69"/>
      <c r="O7" s="261"/>
      <c r="Q7" s="261"/>
      <c r="R7" s="261"/>
      <c r="W7" s="261"/>
    </row>
    <row r="8" spans="2:23" ht="33.75" customHeight="1" thickBot="1" x14ac:dyDescent="0.3">
      <c r="B8" s="352" t="s">
        <v>209</v>
      </c>
      <c r="C8" s="353"/>
      <c r="D8" s="353"/>
      <c r="E8" s="353"/>
      <c r="F8" s="353"/>
      <c r="G8" s="354"/>
      <c r="H8" s="91"/>
      <c r="I8" s="36"/>
      <c r="J8" s="91"/>
      <c r="K8" s="91"/>
      <c r="L8" s="69"/>
      <c r="M8" s="117"/>
      <c r="N8" s="69"/>
      <c r="P8" s="358" t="s">
        <v>166</v>
      </c>
      <c r="U8" s="69"/>
    </row>
    <row r="9" spans="2:23" ht="29.25" customHeight="1" x14ac:dyDescent="0.25">
      <c r="F9" s="118"/>
      <c r="G9" s="69"/>
      <c r="H9" s="357" t="s">
        <v>173</v>
      </c>
      <c r="I9" s="357"/>
      <c r="J9" s="357"/>
      <c r="K9" s="357"/>
      <c r="L9" s="357"/>
      <c r="M9" s="357"/>
      <c r="N9" s="37"/>
      <c r="O9" s="36"/>
      <c r="P9" s="359"/>
      <c r="Q9" s="36"/>
      <c r="T9" s="36"/>
      <c r="W9" s="36"/>
    </row>
    <row r="10" spans="2:23" ht="15" customHeight="1" x14ac:dyDescent="0.25">
      <c r="B10" s="124"/>
      <c r="C10" s="136"/>
      <c r="D10" s="136"/>
      <c r="E10" s="356">
        <v>2016</v>
      </c>
      <c r="F10" s="356"/>
      <c r="G10" s="136"/>
      <c r="H10" s="148"/>
      <c r="I10" s="124"/>
      <c r="J10" s="136"/>
      <c r="K10" s="136"/>
      <c r="L10" s="356">
        <v>2017</v>
      </c>
      <c r="M10" s="356"/>
      <c r="N10" s="136"/>
      <c r="O10" s="36"/>
      <c r="P10" s="359"/>
      <c r="Q10" s="36"/>
      <c r="T10" s="36"/>
      <c r="W10" s="36"/>
    </row>
    <row r="11" spans="2:23" ht="15.75" customHeight="1" thickBot="1" x14ac:dyDescent="0.3">
      <c r="B11" s="124" t="s">
        <v>65</v>
      </c>
      <c r="C11" s="136"/>
      <c r="D11" s="136"/>
      <c r="E11" s="136"/>
      <c r="F11" s="152"/>
      <c r="G11" s="136"/>
      <c r="H11" s="148"/>
      <c r="I11" s="124" t="s">
        <v>65</v>
      </c>
      <c r="J11" s="136"/>
      <c r="K11" s="136"/>
      <c r="L11" s="136"/>
      <c r="M11" s="152"/>
      <c r="N11" s="136"/>
      <c r="O11" s="36"/>
      <c r="P11" s="360"/>
      <c r="Q11" s="36"/>
      <c r="T11" s="36"/>
      <c r="W11" s="36"/>
    </row>
    <row r="12" spans="2:23" ht="20.25" customHeight="1" x14ac:dyDescent="0.25">
      <c r="B12" s="149" t="s">
        <v>106</v>
      </c>
      <c r="C12" s="143" t="s">
        <v>37</v>
      </c>
      <c r="D12" s="143" t="s">
        <v>38</v>
      </c>
      <c r="E12" s="143" t="s">
        <v>39</v>
      </c>
      <c r="F12" s="153" t="s">
        <v>40</v>
      </c>
      <c r="G12" s="143" t="s">
        <v>107</v>
      </c>
      <c r="H12" s="148"/>
      <c r="I12" s="149" t="s">
        <v>106</v>
      </c>
      <c r="J12" s="143" t="s">
        <v>37</v>
      </c>
      <c r="K12" s="143" t="s">
        <v>38</v>
      </c>
      <c r="L12" s="143" t="s">
        <v>39</v>
      </c>
      <c r="M12" s="153" t="s">
        <v>40</v>
      </c>
      <c r="N12" s="143" t="s">
        <v>107</v>
      </c>
      <c r="O12" s="36"/>
      <c r="P12" s="193"/>
      <c r="Q12" s="36"/>
      <c r="T12" s="36"/>
      <c r="W12" s="36"/>
    </row>
    <row r="13" spans="2:23" ht="20.25" customHeight="1" thickBot="1" x14ac:dyDescent="0.3">
      <c r="B13" s="256" t="s">
        <v>193</v>
      </c>
      <c r="C13" s="144"/>
      <c r="D13" s="144"/>
      <c r="E13" s="143" t="s">
        <v>41</v>
      </c>
      <c r="F13" s="153" t="s">
        <v>42</v>
      </c>
      <c r="G13" s="154">
        <v>42370</v>
      </c>
      <c r="H13" s="148"/>
      <c r="I13" s="256" t="s">
        <v>193</v>
      </c>
      <c r="J13" s="144"/>
      <c r="K13" s="144"/>
      <c r="L13" s="143" t="s">
        <v>41</v>
      </c>
      <c r="M13" s="153" t="s">
        <v>42</v>
      </c>
      <c r="N13" s="154">
        <v>42736</v>
      </c>
      <c r="O13" s="36"/>
      <c r="P13" s="193"/>
      <c r="Q13" s="36"/>
      <c r="T13" s="36"/>
      <c r="W13" s="36"/>
    </row>
    <row r="14" spans="2:23" ht="21" x14ac:dyDescent="0.25">
      <c r="B14" s="124"/>
      <c r="C14" s="225">
        <v>1</v>
      </c>
      <c r="D14" s="135" t="s">
        <v>44</v>
      </c>
      <c r="E14" s="134">
        <f>LOOKUP(G14,'IB-IM et VP'!A:A,'IB-IM et VP'!C:C)</f>
        <v>353</v>
      </c>
      <c r="F14" s="155">
        <f>E14*'IB-IM et VP'!P3</f>
        <v>1644.3004749999998</v>
      </c>
      <c r="G14" s="134">
        <v>385</v>
      </c>
      <c r="H14" s="227" t="s">
        <v>57</v>
      </c>
      <c r="I14" s="124"/>
      <c r="J14" s="225">
        <v>1</v>
      </c>
      <c r="K14" s="135" t="s">
        <v>45</v>
      </c>
      <c r="L14" s="134">
        <f>LOOKUP(N14,'IB-IM et VP'!A:A,'IB-IM et VP'!C:C)</f>
        <v>373</v>
      </c>
      <c r="M14" s="155">
        <f>L14*'IB-IM et VP'!P3</f>
        <v>1737.4619749999997</v>
      </c>
      <c r="N14" s="134">
        <v>420</v>
      </c>
      <c r="O14" s="36"/>
      <c r="P14" s="198">
        <f>B73</f>
        <v>42736</v>
      </c>
      <c r="Q14" s="36"/>
      <c r="T14" s="36"/>
      <c r="W14" s="36"/>
    </row>
    <row r="15" spans="2:23" ht="21" x14ac:dyDescent="0.25">
      <c r="B15" s="124"/>
      <c r="C15" s="225">
        <v>2</v>
      </c>
      <c r="D15" s="135" t="s">
        <v>45</v>
      </c>
      <c r="E15" s="134">
        <f>LOOKUP(G15,'IB-IM et VP'!A:A,'IB-IM et VP'!C:C)</f>
        <v>367</v>
      </c>
      <c r="F15" s="155">
        <f>E15*'IB-IM et VP'!P4</f>
        <v>1709.5135249999998</v>
      </c>
      <c r="G15" s="134">
        <v>408</v>
      </c>
      <c r="H15" s="227" t="s">
        <v>56</v>
      </c>
      <c r="I15" s="124"/>
      <c r="J15" s="225">
        <v>1</v>
      </c>
      <c r="K15" s="135" t="s">
        <v>45</v>
      </c>
      <c r="L15" s="134">
        <f>LOOKUP(N15,'IB-IM et VP'!A:A,'IB-IM et VP'!C:C)</f>
        <v>373</v>
      </c>
      <c r="M15" s="155">
        <f>L15*'IB-IM et VP'!P4</f>
        <v>1737.4619749999997</v>
      </c>
      <c r="N15" s="134">
        <v>420</v>
      </c>
      <c r="O15" s="105"/>
      <c r="P15" s="195">
        <f>M1</f>
        <v>41680</v>
      </c>
      <c r="Q15" s="36"/>
      <c r="T15" s="36"/>
      <c r="W15" s="36"/>
    </row>
    <row r="16" spans="2:23" ht="21" x14ac:dyDescent="0.25">
      <c r="B16" s="124"/>
      <c r="C16" s="225">
        <v>3</v>
      </c>
      <c r="D16" s="135" t="s">
        <v>46</v>
      </c>
      <c r="E16" s="134">
        <f>LOOKUP(G16,'IB-IM et VP'!A:A,'IB-IM et VP'!C:C)</f>
        <v>386</v>
      </c>
      <c r="F16" s="155">
        <f>E16*'IB-IM et VP'!P5</f>
        <v>1798.0169499999997</v>
      </c>
      <c r="G16" s="134">
        <v>438</v>
      </c>
      <c r="H16" s="227" t="s">
        <v>56</v>
      </c>
      <c r="I16" s="124"/>
      <c r="J16" s="225">
        <v>2</v>
      </c>
      <c r="K16" s="135" t="s">
        <v>46</v>
      </c>
      <c r="L16" s="134">
        <f>LOOKUP(N16,'IB-IM et VP'!A:A,'IB-IM et VP'!C:C)</f>
        <v>392</v>
      </c>
      <c r="M16" s="155">
        <f>L16*'IB-IM et VP'!P4</f>
        <v>1825.9653999999998</v>
      </c>
      <c r="N16" s="134">
        <v>446</v>
      </c>
      <c r="O16" s="36"/>
      <c r="P16" s="198">
        <f>M1</f>
        <v>41680</v>
      </c>
      <c r="Q16" s="36"/>
      <c r="T16" s="36"/>
      <c r="W16" s="36"/>
    </row>
    <row r="17" spans="2:23" ht="21" x14ac:dyDescent="0.25">
      <c r="B17" s="124"/>
      <c r="C17" s="225">
        <v>4</v>
      </c>
      <c r="D17" s="135" t="s">
        <v>46</v>
      </c>
      <c r="E17" s="134">
        <f>LOOKUP(G17,'IB-IM et VP'!A:A,'IB-IM et VP'!C:C)</f>
        <v>406</v>
      </c>
      <c r="F17" s="155">
        <f>E17*'IB-IM et VP'!P6</f>
        <v>1891.1784499999997</v>
      </c>
      <c r="G17" s="134">
        <v>464</v>
      </c>
      <c r="H17" s="227" t="s">
        <v>56</v>
      </c>
      <c r="I17" s="124"/>
      <c r="J17" s="225">
        <v>3</v>
      </c>
      <c r="K17" s="135" t="s">
        <v>46</v>
      </c>
      <c r="L17" s="134">
        <f>LOOKUP(N17,'IB-IM et VP'!A:A,'IB-IM et VP'!C:C)</f>
        <v>412</v>
      </c>
      <c r="M17" s="155">
        <f>L17*'IB-IM et VP'!P5</f>
        <v>1919.1268999999998</v>
      </c>
      <c r="N17" s="134">
        <v>473</v>
      </c>
      <c r="O17" s="105"/>
      <c r="P17" s="195">
        <f>M1</f>
        <v>41680</v>
      </c>
      <c r="Q17" s="36"/>
      <c r="T17" s="36"/>
      <c r="W17" s="36"/>
    </row>
    <row r="18" spans="2:23" ht="21" x14ac:dyDescent="0.25">
      <c r="B18" s="124"/>
      <c r="C18" s="225">
        <v>5</v>
      </c>
      <c r="D18" s="135" t="s">
        <v>46</v>
      </c>
      <c r="E18" s="134">
        <f>LOOKUP(G18,'IB-IM et VP'!A:A,'IB-IM et VP'!C:C)</f>
        <v>428</v>
      </c>
      <c r="F18" s="155">
        <f>E18*'IB-IM et VP'!P7</f>
        <v>1993.6560999999997</v>
      </c>
      <c r="G18" s="134">
        <v>497</v>
      </c>
      <c r="H18" s="227" t="s">
        <v>56</v>
      </c>
      <c r="I18" s="124"/>
      <c r="J18" s="225">
        <v>4</v>
      </c>
      <c r="K18" s="135" t="s">
        <v>46</v>
      </c>
      <c r="L18" s="134">
        <f>LOOKUP(N18,'IB-IM et VP'!A:A,'IB-IM et VP'!C:C)</f>
        <v>434</v>
      </c>
      <c r="M18" s="155">
        <f>L18*'IB-IM et VP'!P6</f>
        <v>2021.6045499999998</v>
      </c>
      <c r="N18" s="134">
        <v>504</v>
      </c>
      <c r="O18" s="36"/>
      <c r="P18" s="198">
        <f>M1</f>
        <v>41680</v>
      </c>
      <c r="Q18" s="36"/>
      <c r="T18" s="36"/>
      <c r="W18" s="36"/>
    </row>
    <row r="19" spans="2:23" ht="21" x14ac:dyDescent="0.25">
      <c r="B19" s="124"/>
      <c r="C19" s="225">
        <v>6</v>
      </c>
      <c r="D19" s="135" t="s">
        <v>46</v>
      </c>
      <c r="E19" s="134">
        <f>LOOKUP(G19,'IB-IM et VP'!A:A,'IB-IM et VP'!C:C)</f>
        <v>461</v>
      </c>
      <c r="F19" s="155">
        <f>E19*'IB-IM et VP'!P8</f>
        <v>2147.3725749999999</v>
      </c>
      <c r="G19" s="134">
        <v>542</v>
      </c>
      <c r="H19" s="227" t="s">
        <v>56</v>
      </c>
      <c r="I19" s="124"/>
      <c r="J19" s="225">
        <v>5</v>
      </c>
      <c r="K19" s="135" t="s">
        <v>46</v>
      </c>
      <c r="L19" s="134">
        <f>LOOKUP(N19,'IB-IM et VP'!A:A,'IB-IM et VP'!C:C)</f>
        <v>467</v>
      </c>
      <c r="M19" s="155">
        <f>L19*'IB-IM et VP'!P7</f>
        <v>2175.3210249999997</v>
      </c>
      <c r="N19" s="134">
        <v>550</v>
      </c>
      <c r="O19" s="105"/>
      <c r="P19" s="195">
        <f>M1</f>
        <v>41680</v>
      </c>
      <c r="Q19" s="36"/>
      <c r="T19" s="36"/>
      <c r="W19" s="36"/>
    </row>
    <row r="20" spans="2:23" ht="21" x14ac:dyDescent="0.25">
      <c r="B20" s="124"/>
      <c r="C20" s="225">
        <v>7</v>
      </c>
      <c r="D20" s="135" t="s">
        <v>46</v>
      </c>
      <c r="E20" s="134">
        <f>LOOKUP(G20,'IB-IM et VP'!A:A,'IB-IM et VP'!C:C)</f>
        <v>492</v>
      </c>
      <c r="F20" s="155">
        <f>E20*'IB-IM et VP'!P9</f>
        <v>2291.7728999999995</v>
      </c>
      <c r="G20" s="134">
        <v>582</v>
      </c>
      <c r="H20" s="227" t="s">
        <v>131</v>
      </c>
      <c r="I20" s="124"/>
      <c r="J20" s="225">
        <v>6</v>
      </c>
      <c r="K20" s="135" t="s">
        <v>130</v>
      </c>
      <c r="L20" s="134">
        <f>LOOKUP(N20,'IB-IM et VP'!A:A,'IB-IM et VP'!C:C)</f>
        <v>498</v>
      </c>
      <c r="M20" s="155">
        <f>L20*'IB-IM et VP'!P8</f>
        <v>2319.7213499999998</v>
      </c>
      <c r="N20" s="134">
        <v>591</v>
      </c>
      <c r="O20" s="36"/>
      <c r="P20" s="198">
        <f>AD82</f>
        <v>41504</v>
      </c>
      <c r="Q20" s="36"/>
      <c r="T20" s="36"/>
      <c r="W20" s="36"/>
    </row>
    <row r="21" spans="2:23" ht="21" x14ac:dyDescent="0.25">
      <c r="B21" s="124"/>
      <c r="C21" s="225">
        <v>8</v>
      </c>
      <c r="D21" s="135" t="s">
        <v>47</v>
      </c>
      <c r="E21" s="134">
        <f>LOOKUP(G21,'IB-IM et VP'!A:A,'IB-IM et VP'!C:C)</f>
        <v>513</v>
      </c>
      <c r="F21" s="155">
        <f>E21*'IB-IM et VP'!P10</f>
        <v>2389.5924749999995</v>
      </c>
      <c r="G21" s="134">
        <v>611</v>
      </c>
      <c r="H21" s="227" t="s">
        <v>56</v>
      </c>
      <c r="I21" s="124"/>
      <c r="J21" s="225">
        <v>7</v>
      </c>
      <c r="K21" s="135" t="s">
        <v>47</v>
      </c>
      <c r="L21" s="134">
        <f>LOOKUP(N21,'IB-IM et VP'!A:A,'IB-IM et VP'!C:C)</f>
        <v>519</v>
      </c>
      <c r="M21" s="155">
        <f>L21*'IB-IM et VP'!P9</f>
        <v>2417.5409249999998</v>
      </c>
      <c r="N21" s="134">
        <v>619</v>
      </c>
      <c r="O21" s="105"/>
      <c r="P21" s="195">
        <f>M1</f>
        <v>41680</v>
      </c>
      <c r="Q21" s="36"/>
      <c r="T21" s="36"/>
      <c r="W21" s="36"/>
    </row>
    <row r="22" spans="2:23" ht="21" x14ac:dyDescent="0.25">
      <c r="B22" s="124"/>
      <c r="C22" s="225">
        <v>9</v>
      </c>
      <c r="D22" s="135" t="s">
        <v>47</v>
      </c>
      <c r="E22" s="134">
        <f>LOOKUP(G22,'IB-IM et VP'!A:A,'IB-IM et VP'!C:C)</f>
        <v>533</v>
      </c>
      <c r="F22" s="155">
        <f>E22*'IB-IM et VP'!P11</f>
        <v>2482.7539749999996</v>
      </c>
      <c r="G22" s="134">
        <v>637</v>
      </c>
      <c r="H22" s="227" t="s">
        <v>56</v>
      </c>
      <c r="I22" s="124"/>
      <c r="J22" s="225">
        <v>8</v>
      </c>
      <c r="K22" s="135" t="s">
        <v>47</v>
      </c>
      <c r="L22" s="134">
        <f>LOOKUP(N22,'IB-IM et VP'!A:A,'IB-IM et VP'!C:C)</f>
        <v>539</v>
      </c>
      <c r="M22" s="155">
        <f>L22*'IB-IM et VP'!P10</f>
        <v>2510.7024249999995</v>
      </c>
      <c r="N22" s="134">
        <v>645</v>
      </c>
      <c r="O22" s="36"/>
      <c r="P22" s="198">
        <f>M1</f>
        <v>41680</v>
      </c>
      <c r="Q22" s="36"/>
      <c r="T22" s="36"/>
      <c r="W22" s="36"/>
    </row>
    <row r="23" spans="2:23" ht="21" x14ac:dyDescent="0.25">
      <c r="B23" s="124"/>
      <c r="C23" s="225">
        <v>10</v>
      </c>
      <c r="D23" s="135" t="s">
        <v>47</v>
      </c>
      <c r="E23" s="134">
        <f>LOOKUP(G23,'IB-IM et VP'!A:A,'IB-IM et VP'!C:C)</f>
        <v>553</v>
      </c>
      <c r="F23" s="155">
        <f>E23*'IB-IM et VP'!P12</f>
        <v>2575.9154749999998</v>
      </c>
      <c r="G23" s="134">
        <v>663</v>
      </c>
      <c r="H23" s="227" t="s">
        <v>56</v>
      </c>
      <c r="I23" s="124"/>
      <c r="J23" s="225">
        <v>9</v>
      </c>
      <c r="K23" s="135" t="s">
        <v>47</v>
      </c>
      <c r="L23" s="134">
        <f>LOOKUP(N23,'IB-IM et VP'!A:A,'IB-IM et VP'!C:C)</f>
        <v>562</v>
      </c>
      <c r="M23" s="155">
        <f>L23*'IB-IM et VP'!P11</f>
        <v>2617.8381499999996</v>
      </c>
      <c r="N23" s="134">
        <v>675</v>
      </c>
      <c r="O23" s="105"/>
      <c r="P23" s="195">
        <f>M1</f>
        <v>41680</v>
      </c>
      <c r="Q23" s="36"/>
      <c r="T23" s="36"/>
      <c r="W23" s="36"/>
    </row>
    <row r="24" spans="2:23" ht="21" x14ac:dyDescent="0.25">
      <c r="B24" s="124"/>
      <c r="C24" s="225">
        <v>11</v>
      </c>
      <c r="D24" s="135"/>
      <c r="E24" s="134">
        <f>LOOKUP(G24,'IB-IM et VP'!A:A,'IB-IM et VP'!C:C)</f>
        <v>570</v>
      </c>
      <c r="F24" s="155">
        <f>E24*'IB-IM et VP'!P13</f>
        <v>2655.1027499999996</v>
      </c>
      <c r="G24" s="134">
        <v>685</v>
      </c>
      <c r="H24" s="227" t="s">
        <v>56</v>
      </c>
      <c r="I24" s="124"/>
      <c r="J24" s="225">
        <v>10</v>
      </c>
      <c r="K24" s="135"/>
      <c r="L24" s="134">
        <f>LOOKUP(N24,'IB-IM et VP'!A:A,'IB-IM et VP'!C:C)</f>
        <v>583</v>
      </c>
      <c r="M24" s="155">
        <f>L24*'IB-IM et VP'!P12</f>
        <v>2715.6577249999996</v>
      </c>
      <c r="N24" s="134">
        <v>702</v>
      </c>
      <c r="O24" s="105"/>
      <c r="P24" s="195">
        <f>M1</f>
        <v>41680</v>
      </c>
      <c r="Q24" s="36"/>
      <c r="T24" s="36"/>
      <c r="W24" s="36"/>
    </row>
    <row r="25" spans="2:23" ht="21" x14ac:dyDescent="0.25">
      <c r="B25" s="124"/>
      <c r="C25" s="136"/>
      <c r="D25" s="136"/>
      <c r="E25" s="138"/>
      <c r="F25" s="152"/>
      <c r="G25" s="138"/>
      <c r="H25" s="136"/>
      <c r="I25" s="124"/>
      <c r="J25" s="136"/>
      <c r="K25" s="136"/>
      <c r="L25" s="138"/>
      <c r="M25" s="152"/>
      <c r="N25" s="138"/>
      <c r="O25" s="36"/>
      <c r="P25" s="221"/>
      <c r="Q25" s="36"/>
      <c r="T25" s="36"/>
      <c r="W25" s="36"/>
    </row>
    <row r="26" spans="2:23" ht="21" x14ac:dyDescent="0.25">
      <c r="B26" s="124"/>
      <c r="C26" s="136"/>
      <c r="D26" s="136"/>
      <c r="E26" s="138"/>
      <c r="F26" s="152"/>
      <c r="G26" s="138"/>
      <c r="H26" s="136"/>
      <c r="I26" s="124"/>
      <c r="J26" s="136"/>
      <c r="K26" s="136"/>
      <c r="L26" s="138"/>
      <c r="M26" s="152"/>
      <c r="N26" s="138"/>
      <c r="O26" s="36"/>
      <c r="P26" s="221"/>
      <c r="Q26" s="36"/>
      <c r="T26" s="36"/>
      <c r="W26" s="36"/>
    </row>
    <row r="27" spans="2:23" ht="21.75" thickBot="1" x14ac:dyDescent="0.3">
      <c r="B27" s="124" t="s">
        <v>48</v>
      </c>
      <c r="C27" s="136"/>
      <c r="D27" s="136"/>
      <c r="E27" s="138"/>
      <c r="F27" s="152"/>
      <c r="G27" s="138"/>
      <c r="H27" s="136"/>
      <c r="I27" s="124" t="s">
        <v>48</v>
      </c>
      <c r="J27" s="136"/>
      <c r="K27" s="136"/>
      <c r="L27" s="138"/>
      <c r="M27" s="152"/>
      <c r="N27" s="138"/>
      <c r="O27" s="36"/>
      <c r="P27" s="221"/>
      <c r="Q27" s="36"/>
      <c r="T27" s="36"/>
      <c r="W27" s="36"/>
    </row>
    <row r="28" spans="2:23" ht="21" x14ac:dyDescent="0.25">
      <c r="B28" s="149" t="s">
        <v>106</v>
      </c>
      <c r="C28" s="143" t="s">
        <v>37</v>
      </c>
      <c r="D28" s="143" t="s">
        <v>38</v>
      </c>
      <c r="E28" s="143" t="s">
        <v>39</v>
      </c>
      <c r="F28" s="153" t="s">
        <v>40</v>
      </c>
      <c r="G28" s="143" t="s">
        <v>107</v>
      </c>
      <c r="H28" s="136"/>
      <c r="I28" s="149" t="s">
        <v>106</v>
      </c>
      <c r="J28" s="143" t="s">
        <v>37</v>
      </c>
      <c r="K28" s="143" t="s">
        <v>38</v>
      </c>
      <c r="L28" s="143" t="s">
        <v>39</v>
      </c>
      <c r="M28" s="153" t="s">
        <v>40</v>
      </c>
      <c r="N28" s="143" t="s">
        <v>107</v>
      </c>
      <c r="O28" s="36"/>
      <c r="P28" s="221"/>
      <c r="Q28" s="36"/>
      <c r="T28" s="36"/>
      <c r="W28" s="36"/>
    </row>
    <row r="29" spans="2:23" ht="21.75" thickBot="1" x14ac:dyDescent="0.3">
      <c r="B29" s="256" t="s">
        <v>193</v>
      </c>
      <c r="C29" s="144"/>
      <c r="D29" s="144"/>
      <c r="E29" s="143" t="s">
        <v>41</v>
      </c>
      <c r="F29" s="153" t="s">
        <v>42</v>
      </c>
      <c r="G29" s="154">
        <v>42370</v>
      </c>
      <c r="H29" s="136"/>
      <c r="I29" s="256" t="s">
        <v>193</v>
      </c>
      <c r="J29" s="144"/>
      <c r="K29" s="144"/>
      <c r="L29" s="143" t="s">
        <v>41</v>
      </c>
      <c r="M29" s="153" t="s">
        <v>42</v>
      </c>
      <c r="N29" s="154">
        <v>42736</v>
      </c>
      <c r="O29" s="36"/>
      <c r="P29" s="221"/>
      <c r="Q29" s="36"/>
      <c r="T29" s="36"/>
      <c r="W29" s="36"/>
    </row>
    <row r="30" spans="2:23" ht="21" x14ac:dyDescent="0.25">
      <c r="B30" s="149" t="s">
        <v>108</v>
      </c>
      <c r="C30" s="257">
        <v>1</v>
      </c>
      <c r="D30" s="135" t="s">
        <v>44</v>
      </c>
      <c r="E30" s="134">
        <f>LOOKUP(G30,'IB-IM et VP'!A:A,'IB-IM et VP'!C:C)</f>
        <v>394</v>
      </c>
      <c r="F30" s="155">
        <f>E30*'IB-IM et VP'!P20</f>
        <v>1835.2815499999997</v>
      </c>
      <c r="G30" s="134">
        <v>449</v>
      </c>
      <c r="H30" s="227" t="s">
        <v>57</v>
      </c>
      <c r="I30" s="149" t="s">
        <v>108</v>
      </c>
      <c r="J30" s="257">
        <v>1</v>
      </c>
      <c r="K30" s="135" t="s">
        <v>45</v>
      </c>
      <c r="L30" s="134">
        <f>LOOKUP(N30,'IB-IM et VP'!A:A,'IB-IM et VP'!C:C)</f>
        <v>414</v>
      </c>
      <c r="M30" s="155">
        <f>L30*'IB-IM et VP'!P20</f>
        <v>1928.4430499999996</v>
      </c>
      <c r="N30" s="134">
        <v>476</v>
      </c>
      <c r="O30" s="36"/>
      <c r="P30" s="198">
        <f>B73</f>
        <v>42736</v>
      </c>
      <c r="Q30" s="36"/>
      <c r="T30" s="36"/>
      <c r="W30" s="36"/>
    </row>
    <row r="31" spans="2:23" ht="21.75" thickBot="1" x14ac:dyDescent="0.3">
      <c r="B31" s="150" t="s">
        <v>109</v>
      </c>
      <c r="C31" s="257">
        <v>2</v>
      </c>
      <c r="D31" s="135" t="s">
        <v>45</v>
      </c>
      <c r="E31" s="134">
        <f>LOOKUP(G31,'IB-IM et VP'!A:A,'IB-IM et VP'!C:C)</f>
        <v>407</v>
      </c>
      <c r="F31" s="155">
        <f>E31*'IB-IM et VP'!P21</f>
        <v>1895.8365249999997</v>
      </c>
      <c r="G31" s="134">
        <v>465</v>
      </c>
      <c r="H31" s="227" t="s">
        <v>56</v>
      </c>
      <c r="I31" s="150" t="s">
        <v>109</v>
      </c>
      <c r="J31" s="257">
        <v>1</v>
      </c>
      <c r="K31" s="135" t="s">
        <v>45</v>
      </c>
      <c r="L31" s="134">
        <f>LOOKUP(N31,'IB-IM et VP'!A:A,'IB-IM et VP'!C:C)</f>
        <v>414</v>
      </c>
      <c r="M31" s="155">
        <f>L31*'IB-IM et VP'!P21</f>
        <v>1928.4430499999996</v>
      </c>
      <c r="N31" s="134">
        <v>476</v>
      </c>
      <c r="O31" s="105"/>
      <c r="P31" s="195">
        <f>M1</f>
        <v>41680</v>
      </c>
      <c r="Q31" s="36"/>
      <c r="T31" s="36"/>
      <c r="W31" s="36"/>
    </row>
    <row r="32" spans="2:23" ht="21" x14ac:dyDescent="0.25">
      <c r="B32" s="124"/>
      <c r="C32" s="225">
        <v>3</v>
      </c>
      <c r="D32" s="135" t="s">
        <v>45</v>
      </c>
      <c r="E32" s="134">
        <f>LOOKUP(G32,'IB-IM et VP'!A:A,'IB-IM et VP'!C:C)</f>
        <v>424</v>
      </c>
      <c r="F32" s="155">
        <f>E32*'IB-IM et VP'!P22</f>
        <v>1975.0237999999997</v>
      </c>
      <c r="G32" s="134">
        <v>491</v>
      </c>
      <c r="H32" s="227" t="s">
        <v>56</v>
      </c>
      <c r="I32" s="124"/>
      <c r="J32" s="225">
        <v>2</v>
      </c>
      <c r="K32" s="135" t="s">
        <v>45</v>
      </c>
      <c r="L32" s="134">
        <f>LOOKUP(N32,'IB-IM et VP'!A:A,'IB-IM et VP'!C:C)</f>
        <v>430</v>
      </c>
      <c r="M32" s="155">
        <f>L32*'IB-IM et VP'!P21</f>
        <v>2002.9722499999998</v>
      </c>
      <c r="N32" s="134">
        <v>499</v>
      </c>
      <c r="O32" s="36"/>
      <c r="P32" s="198">
        <f>M1</f>
        <v>41680</v>
      </c>
      <c r="Q32" s="36"/>
      <c r="T32" s="36"/>
      <c r="W32" s="36"/>
    </row>
    <row r="33" spans="2:23" ht="21" x14ac:dyDescent="0.25">
      <c r="B33" s="124"/>
      <c r="C33" s="225">
        <v>4</v>
      </c>
      <c r="D33" s="135" t="s">
        <v>45</v>
      </c>
      <c r="E33" s="134">
        <f>LOOKUP(G33,'IB-IM et VP'!A:A,'IB-IM et VP'!C:C)</f>
        <v>444</v>
      </c>
      <c r="F33" s="155">
        <f>E33*'IB-IM et VP'!P23</f>
        <v>2068.1852999999996</v>
      </c>
      <c r="G33" s="134">
        <v>517</v>
      </c>
      <c r="H33" s="227" t="s">
        <v>56</v>
      </c>
      <c r="I33" s="124"/>
      <c r="J33" s="225">
        <v>3</v>
      </c>
      <c r="K33" s="135" t="s">
        <v>45</v>
      </c>
      <c r="L33" s="134">
        <f>LOOKUP(N33,'IB-IM et VP'!A:A,'IB-IM et VP'!C:C)</f>
        <v>450</v>
      </c>
      <c r="M33" s="155">
        <f>L33*'IB-IM et VP'!P22</f>
        <v>2096.1337499999995</v>
      </c>
      <c r="N33" s="134">
        <v>525</v>
      </c>
      <c r="O33" s="105"/>
      <c r="P33" s="195">
        <f>M1</f>
        <v>41680</v>
      </c>
      <c r="Q33" s="36"/>
      <c r="T33" s="36"/>
      <c r="W33" s="36"/>
    </row>
    <row r="34" spans="2:23" ht="21" x14ac:dyDescent="0.25">
      <c r="B34" s="124"/>
      <c r="C34" s="225">
        <v>5</v>
      </c>
      <c r="D34" s="135" t="s">
        <v>45</v>
      </c>
      <c r="E34" s="134">
        <f>LOOKUP(G34,'IB-IM et VP'!A:A,'IB-IM et VP'!C:C)</f>
        <v>464</v>
      </c>
      <c r="F34" s="155">
        <f>E34*'IB-IM et VP'!P24</f>
        <v>2161.3467999999998</v>
      </c>
      <c r="G34" s="134">
        <v>546</v>
      </c>
      <c r="H34" s="227" t="s">
        <v>56</v>
      </c>
      <c r="I34" s="124"/>
      <c r="J34" s="225">
        <v>4</v>
      </c>
      <c r="K34" s="135" t="s">
        <v>45</v>
      </c>
      <c r="L34" s="134">
        <f>LOOKUP(N34,'IB-IM et VP'!A:A,'IB-IM et VP'!C:C)</f>
        <v>470</v>
      </c>
      <c r="M34" s="155">
        <f>L34*'IB-IM et VP'!P23</f>
        <v>2189.2952499999997</v>
      </c>
      <c r="N34" s="134">
        <v>554</v>
      </c>
      <c r="O34" s="36"/>
      <c r="P34" s="198">
        <f>M1</f>
        <v>41680</v>
      </c>
      <c r="Q34" s="36"/>
      <c r="T34" s="36"/>
      <c r="W34" s="36"/>
    </row>
    <row r="35" spans="2:23" ht="21" x14ac:dyDescent="0.25">
      <c r="B35" s="124"/>
      <c r="C35" s="225">
        <v>6</v>
      </c>
      <c r="D35" s="135" t="s">
        <v>46</v>
      </c>
      <c r="E35" s="134">
        <f>LOOKUP(G35,'IB-IM et VP'!A:A,'IB-IM et VP'!C:C)</f>
        <v>487</v>
      </c>
      <c r="F35" s="155">
        <f>E35*'IB-IM et VP'!P25</f>
        <v>2268.4825249999994</v>
      </c>
      <c r="G35" s="134">
        <v>577</v>
      </c>
      <c r="H35" s="227" t="s">
        <v>56</v>
      </c>
      <c r="I35" s="124"/>
      <c r="J35" s="225">
        <v>5</v>
      </c>
      <c r="K35" s="135" t="s">
        <v>46</v>
      </c>
      <c r="L35" s="134">
        <f>LOOKUP(N35,'IB-IM et VP'!A:A,'IB-IM et VP'!C:C)</f>
        <v>493</v>
      </c>
      <c r="M35" s="155">
        <f>L35*'IB-IM et VP'!P24</f>
        <v>2296.4309749999998</v>
      </c>
      <c r="N35" s="134">
        <v>584</v>
      </c>
      <c r="O35" s="105"/>
      <c r="P35" s="195">
        <f>M1</f>
        <v>41680</v>
      </c>
      <c r="Q35" s="36"/>
      <c r="T35" s="36"/>
      <c r="W35" s="36"/>
    </row>
    <row r="36" spans="2:23" ht="21" x14ac:dyDescent="0.25">
      <c r="B36" s="124"/>
      <c r="C36" s="225">
        <v>7</v>
      </c>
      <c r="D36" s="135" t="s">
        <v>46</v>
      </c>
      <c r="E36" s="134">
        <f>LOOKUP(G36,'IB-IM et VP'!A:A,'IB-IM et VP'!C:C)</f>
        <v>510</v>
      </c>
      <c r="F36" s="155">
        <f>E36*'IB-IM et VP'!P26</f>
        <v>2375.6182499999995</v>
      </c>
      <c r="G36" s="134">
        <v>607</v>
      </c>
      <c r="H36" s="227" t="s">
        <v>131</v>
      </c>
      <c r="I36" s="124"/>
      <c r="J36" s="225">
        <v>6</v>
      </c>
      <c r="K36" s="135" t="s">
        <v>130</v>
      </c>
      <c r="L36" s="134">
        <f>LOOKUP(N36,'IB-IM et VP'!A:A,'IB-IM et VP'!C:C)</f>
        <v>516</v>
      </c>
      <c r="M36" s="155">
        <f>L36*'IB-IM et VP'!P25</f>
        <v>2403.5666999999999</v>
      </c>
      <c r="N36" s="134">
        <v>615</v>
      </c>
      <c r="O36" s="36"/>
      <c r="P36" s="195">
        <f>AD82</f>
        <v>41504</v>
      </c>
      <c r="Q36" s="36"/>
      <c r="T36" s="36"/>
      <c r="W36" s="36"/>
    </row>
    <row r="37" spans="2:23" ht="21" x14ac:dyDescent="0.25">
      <c r="B37" s="124"/>
      <c r="C37" s="225">
        <v>8</v>
      </c>
      <c r="D37" s="135" t="s">
        <v>47</v>
      </c>
      <c r="E37" s="134">
        <f>LOOKUP(G37,'IB-IM et VP'!A:A,'IB-IM et VP'!C:C)</f>
        <v>533</v>
      </c>
      <c r="F37" s="155">
        <f>E37*'IB-IM et VP'!P27</f>
        <v>2482.7539749999996</v>
      </c>
      <c r="G37" s="134">
        <v>637</v>
      </c>
      <c r="H37" s="227" t="s">
        <v>56</v>
      </c>
      <c r="I37" s="124"/>
      <c r="J37" s="225">
        <v>7</v>
      </c>
      <c r="K37" s="135" t="s">
        <v>47</v>
      </c>
      <c r="L37" s="134">
        <f>LOOKUP(N37,'IB-IM et VP'!A:A,'IB-IM et VP'!C:C)</f>
        <v>539</v>
      </c>
      <c r="M37" s="155">
        <f>L37*'IB-IM et VP'!P26</f>
        <v>2510.7024249999995</v>
      </c>
      <c r="N37" s="134">
        <v>645</v>
      </c>
      <c r="O37" s="105"/>
      <c r="P37" s="195">
        <f>M1</f>
        <v>41680</v>
      </c>
      <c r="Q37" s="36"/>
      <c r="T37" s="36"/>
      <c r="W37" s="36"/>
    </row>
    <row r="38" spans="2:23" ht="21" x14ac:dyDescent="0.25">
      <c r="B38" s="124"/>
      <c r="C38" s="225">
        <v>9</v>
      </c>
      <c r="D38" s="135" t="s">
        <v>47</v>
      </c>
      <c r="E38" s="134">
        <f>LOOKUP(G38,'IB-IM et VP'!A:A,'IB-IM et VP'!C:C)</f>
        <v>556</v>
      </c>
      <c r="F38" s="155">
        <f>E38*'IB-IM et VP'!P28</f>
        <v>2589.8896999999997</v>
      </c>
      <c r="G38" s="134">
        <v>667</v>
      </c>
      <c r="H38" s="227" t="s">
        <v>56</v>
      </c>
      <c r="I38" s="124"/>
      <c r="J38" s="225">
        <v>8</v>
      </c>
      <c r="K38" s="135" t="s">
        <v>47</v>
      </c>
      <c r="L38" s="134">
        <f>LOOKUP(N38,'IB-IM et VP'!A:A,'IB-IM et VP'!C:C)</f>
        <v>562</v>
      </c>
      <c r="M38" s="155">
        <f>L38*'IB-IM et VP'!P27</f>
        <v>2617.8381499999996</v>
      </c>
      <c r="N38" s="134">
        <v>675</v>
      </c>
      <c r="O38" s="36"/>
      <c r="P38" s="198">
        <f>M1</f>
        <v>41680</v>
      </c>
      <c r="Q38" s="36"/>
      <c r="T38" s="36"/>
      <c r="W38" s="36"/>
    </row>
    <row r="39" spans="2:23" ht="21" x14ac:dyDescent="0.25">
      <c r="B39" s="124"/>
      <c r="C39" s="225">
        <v>10</v>
      </c>
      <c r="D39" s="135" t="s">
        <v>47</v>
      </c>
      <c r="E39" s="134">
        <f>LOOKUP(G39,'IB-IM et VP'!A:A,'IB-IM et VP'!C:C)</f>
        <v>582</v>
      </c>
      <c r="F39" s="155">
        <f>E39*'IB-IM et VP'!P29</f>
        <v>2710.9996499999997</v>
      </c>
      <c r="G39" s="134">
        <v>701</v>
      </c>
      <c r="H39" s="227" t="s">
        <v>56</v>
      </c>
      <c r="I39" s="124"/>
      <c r="J39" s="225">
        <v>9</v>
      </c>
      <c r="K39" s="135" t="s">
        <v>47</v>
      </c>
      <c r="L39" s="134">
        <f>LOOKUP(N39,'IB-IM et VP'!A:A,'IB-IM et VP'!C:C)</f>
        <v>591</v>
      </c>
      <c r="M39" s="155">
        <f>L39*'IB-IM et VP'!P28</f>
        <v>2752.9223249999995</v>
      </c>
      <c r="N39" s="134">
        <v>713</v>
      </c>
      <c r="O39" s="105"/>
      <c r="P39" s="195">
        <f>M1</f>
        <v>41680</v>
      </c>
      <c r="Q39" s="36"/>
      <c r="T39" s="36"/>
      <c r="W39" s="36"/>
    </row>
    <row r="40" spans="2:23" ht="21" x14ac:dyDescent="0.25">
      <c r="B40" s="124"/>
      <c r="C40" s="225">
        <v>11</v>
      </c>
      <c r="D40" s="135"/>
      <c r="E40" s="134">
        <f>LOOKUP(G40,'IB-IM et VP'!A:A,'IB-IM et VP'!C:C)</f>
        <v>608</v>
      </c>
      <c r="F40" s="155">
        <f>E40*'IB-IM et VP'!P30</f>
        <v>2832.1095999999998</v>
      </c>
      <c r="G40" s="134">
        <v>736</v>
      </c>
      <c r="H40" s="227" t="s">
        <v>56</v>
      </c>
      <c r="I40" s="124"/>
      <c r="J40" s="225">
        <v>10</v>
      </c>
      <c r="K40" s="135"/>
      <c r="L40" s="134">
        <f>LOOKUP(N40,'IB-IM et VP'!A:A,'IB-IM et VP'!C:C)</f>
        <v>614</v>
      </c>
      <c r="M40" s="155">
        <f>L40*'IB-IM et VP'!P29</f>
        <v>2860.0580499999996</v>
      </c>
      <c r="N40" s="134">
        <v>743</v>
      </c>
      <c r="O40" s="105"/>
      <c r="P40" s="195">
        <f>M1</f>
        <v>41680</v>
      </c>
      <c r="Q40" s="36"/>
      <c r="T40" s="36"/>
      <c r="W40" s="36"/>
    </row>
    <row r="41" spans="2:23" ht="15" customHeight="1" x14ac:dyDescent="0.25">
      <c r="B41" s="124"/>
      <c r="C41" s="136"/>
      <c r="D41" s="136"/>
      <c r="E41" s="138"/>
      <c r="F41" s="152"/>
      <c r="G41" s="138"/>
      <c r="H41" s="136"/>
      <c r="I41" s="124"/>
      <c r="J41" s="226"/>
      <c r="K41" s="136"/>
      <c r="L41" s="138"/>
      <c r="M41" s="152"/>
      <c r="N41" s="138"/>
      <c r="O41" s="36"/>
      <c r="P41" s="221"/>
      <c r="Q41" s="36"/>
      <c r="T41" s="36"/>
      <c r="W41" s="36"/>
    </row>
    <row r="42" spans="2:23" ht="21" x14ac:dyDescent="0.25">
      <c r="B42" s="124"/>
      <c r="C42" s="136"/>
      <c r="D42" s="136"/>
      <c r="E42" s="138"/>
      <c r="F42" s="152"/>
      <c r="G42" s="138"/>
      <c r="H42" s="136"/>
      <c r="I42" s="124"/>
      <c r="J42" s="136"/>
      <c r="K42" s="136"/>
      <c r="L42" s="138"/>
      <c r="M42" s="152"/>
      <c r="N42" s="138"/>
      <c r="O42" s="36"/>
      <c r="P42" s="221"/>
      <c r="Q42" s="36"/>
      <c r="T42" s="36"/>
      <c r="W42" s="36"/>
    </row>
    <row r="43" spans="2:23" ht="21.75" thickBot="1" x14ac:dyDescent="0.3">
      <c r="B43" s="124" t="s">
        <v>49</v>
      </c>
      <c r="C43" s="136"/>
      <c r="D43" s="136"/>
      <c r="E43" s="138"/>
      <c r="F43" s="152"/>
      <c r="G43" s="138"/>
      <c r="H43" s="136"/>
      <c r="I43" s="124" t="s">
        <v>49</v>
      </c>
      <c r="J43" s="136"/>
      <c r="K43" s="136"/>
      <c r="L43" s="138"/>
      <c r="M43" s="152"/>
      <c r="N43" s="138"/>
      <c r="O43" s="36"/>
      <c r="P43" s="221"/>
      <c r="Q43" s="36"/>
      <c r="T43" s="36"/>
      <c r="W43" s="36"/>
    </row>
    <row r="44" spans="2:23" ht="21" x14ac:dyDescent="0.25">
      <c r="B44" s="149" t="s">
        <v>108</v>
      </c>
      <c r="C44" s="143" t="s">
        <v>37</v>
      </c>
      <c r="D44" s="143" t="s">
        <v>38</v>
      </c>
      <c r="E44" s="143" t="s">
        <v>39</v>
      </c>
      <c r="F44" s="153" t="s">
        <v>40</v>
      </c>
      <c r="G44" s="143" t="s">
        <v>107</v>
      </c>
      <c r="H44" s="136"/>
      <c r="I44" s="149" t="s">
        <v>108</v>
      </c>
      <c r="J44" s="143" t="s">
        <v>37</v>
      </c>
      <c r="K44" s="143" t="s">
        <v>38</v>
      </c>
      <c r="L44" s="143" t="s">
        <v>39</v>
      </c>
      <c r="M44" s="153" t="s">
        <v>40</v>
      </c>
      <c r="N44" s="143" t="s">
        <v>107</v>
      </c>
      <c r="O44" s="36"/>
      <c r="P44" s="221"/>
      <c r="Q44" s="36"/>
      <c r="T44" s="36"/>
      <c r="W44" s="36"/>
    </row>
    <row r="45" spans="2:23" ht="21.75" thickBot="1" x14ac:dyDescent="0.3">
      <c r="B45" s="150" t="s">
        <v>109</v>
      </c>
      <c r="C45" s="144"/>
      <c r="D45" s="144"/>
      <c r="E45" s="143" t="s">
        <v>41</v>
      </c>
      <c r="F45" s="153" t="s">
        <v>42</v>
      </c>
      <c r="G45" s="154">
        <v>42370</v>
      </c>
      <c r="H45" s="136"/>
      <c r="I45" s="150" t="s">
        <v>109</v>
      </c>
      <c r="J45" s="144"/>
      <c r="K45" s="144"/>
      <c r="L45" s="143" t="s">
        <v>41</v>
      </c>
      <c r="M45" s="153" t="s">
        <v>42</v>
      </c>
      <c r="N45" s="154">
        <v>42736</v>
      </c>
      <c r="O45" s="36"/>
      <c r="P45" s="221"/>
      <c r="Q45" s="36"/>
      <c r="T45" s="36"/>
      <c r="W45" s="36"/>
    </row>
    <row r="46" spans="2:23" ht="21.75" thickBot="1" x14ac:dyDescent="0.3">
      <c r="B46" s="147" t="s">
        <v>104</v>
      </c>
      <c r="C46" s="257">
        <v>1</v>
      </c>
      <c r="D46" s="135" t="s">
        <v>44</v>
      </c>
      <c r="E46" s="134">
        <f>LOOKUP(G46,'IB-IM et VP'!A:A,'IB-IM et VP'!C:C)</f>
        <v>407</v>
      </c>
      <c r="F46" s="155">
        <f>E46*'IB-IM et VP'!P37</f>
        <v>1895.8365249999997</v>
      </c>
      <c r="G46" s="134">
        <v>465</v>
      </c>
      <c r="H46" s="227" t="s">
        <v>57</v>
      </c>
      <c r="I46" s="147" t="s">
        <v>104</v>
      </c>
      <c r="J46" s="257">
        <v>1</v>
      </c>
      <c r="K46" s="135" t="s">
        <v>45</v>
      </c>
      <c r="L46" s="134">
        <f>LOOKUP(N46,'IB-IM et VP'!A:A,'IB-IM et VP'!C:C)</f>
        <v>430</v>
      </c>
      <c r="M46" s="155">
        <f>L46*'IB-IM et VP'!P37</f>
        <v>2002.9722499999998</v>
      </c>
      <c r="N46" s="134">
        <v>499</v>
      </c>
      <c r="O46" s="36"/>
      <c r="P46" s="198">
        <f>B73</f>
        <v>42736</v>
      </c>
      <c r="Q46" s="36"/>
      <c r="T46" s="36"/>
      <c r="W46" s="36"/>
    </row>
    <row r="47" spans="2:23" ht="21" x14ac:dyDescent="0.25">
      <c r="B47" s="124"/>
      <c r="C47" s="225">
        <v>2</v>
      </c>
      <c r="D47" s="135" t="s">
        <v>45</v>
      </c>
      <c r="E47" s="134">
        <f>LOOKUP(G47,'IB-IM et VP'!A:A,'IB-IM et VP'!C:C)</f>
        <v>424</v>
      </c>
      <c r="F47" s="155">
        <f>E47*'IB-IM et VP'!P38</f>
        <v>1975.0237999999997</v>
      </c>
      <c r="G47" s="134">
        <v>491</v>
      </c>
      <c r="H47" s="227" t="s">
        <v>56</v>
      </c>
      <c r="I47" s="124"/>
      <c r="J47" s="225">
        <v>1</v>
      </c>
      <c r="K47" s="135" t="s">
        <v>45</v>
      </c>
      <c r="L47" s="134">
        <f>LOOKUP(N47,'IB-IM et VP'!A:A,'IB-IM et VP'!C:C)</f>
        <v>430</v>
      </c>
      <c r="M47" s="155">
        <f>L47*'IB-IM et VP'!P38</f>
        <v>2002.9722499999998</v>
      </c>
      <c r="N47" s="134">
        <v>499</v>
      </c>
      <c r="O47" s="105"/>
      <c r="P47" s="195">
        <f>M1</f>
        <v>41680</v>
      </c>
      <c r="Q47" s="36"/>
      <c r="T47" s="36"/>
      <c r="W47" s="36"/>
    </row>
    <row r="48" spans="2:23" ht="21" x14ac:dyDescent="0.25">
      <c r="B48" s="124"/>
      <c r="C48" s="225">
        <v>3</v>
      </c>
      <c r="D48" s="135" t="s">
        <v>45</v>
      </c>
      <c r="E48" s="134">
        <f>LOOKUP(G48,'IB-IM et VP'!A:A,'IB-IM et VP'!C:C)</f>
        <v>443</v>
      </c>
      <c r="F48" s="155">
        <f>E48*'IB-IM et VP'!P39</f>
        <v>2063.5272249999998</v>
      </c>
      <c r="G48" s="134">
        <v>516</v>
      </c>
      <c r="H48" s="227" t="s">
        <v>56</v>
      </c>
      <c r="I48" s="124"/>
      <c r="J48" s="225">
        <v>2</v>
      </c>
      <c r="K48" s="135" t="s">
        <v>45</v>
      </c>
      <c r="L48" s="134">
        <f>LOOKUP(N48,'IB-IM et VP'!A:A,'IB-IM et VP'!C:C)</f>
        <v>450</v>
      </c>
      <c r="M48" s="155">
        <f>L48*'IB-IM et VP'!P38</f>
        <v>2096.1337499999995</v>
      </c>
      <c r="N48" s="134">
        <v>525</v>
      </c>
      <c r="O48" s="36"/>
      <c r="P48" s="198">
        <f>M1</f>
        <v>41680</v>
      </c>
      <c r="Q48" s="36"/>
      <c r="T48" s="36"/>
      <c r="W48" s="36"/>
    </row>
    <row r="49" spans="2:23" ht="21" x14ac:dyDescent="0.25">
      <c r="B49" s="124"/>
      <c r="C49" s="225">
        <v>4</v>
      </c>
      <c r="D49" s="135" t="s">
        <v>45</v>
      </c>
      <c r="E49" s="134">
        <f>LOOKUP(G49,'IB-IM et VP'!A:A,'IB-IM et VP'!C:C)</f>
        <v>464</v>
      </c>
      <c r="F49" s="155">
        <f>E49*'IB-IM et VP'!P40</f>
        <v>2161.3467999999998</v>
      </c>
      <c r="G49" s="134">
        <v>546</v>
      </c>
      <c r="H49" s="227" t="s">
        <v>56</v>
      </c>
      <c r="I49" s="124"/>
      <c r="J49" s="225">
        <v>3</v>
      </c>
      <c r="K49" s="135" t="s">
        <v>45</v>
      </c>
      <c r="L49" s="134">
        <f>LOOKUP(N49,'IB-IM et VP'!A:A,'IB-IM et VP'!C:C)</f>
        <v>471</v>
      </c>
      <c r="M49" s="155">
        <f>L49*'IB-IM et VP'!P39</f>
        <v>2193.9533249999995</v>
      </c>
      <c r="N49" s="134">
        <v>555</v>
      </c>
      <c r="O49" s="105"/>
      <c r="P49" s="195">
        <f>M1</f>
        <v>41680</v>
      </c>
      <c r="Q49" s="36"/>
      <c r="T49" s="36"/>
      <c r="W49" s="36"/>
    </row>
    <row r="50" spans="2:23" ht="21" x14ac:dyDescent="0.25">
      <c r="B50" s="124"/>
      <c r="C50" s="225">
        <v>5</v>
      </c>
      <c r="D50" s="135" t="s">
        <v>45</v>
      </c>
      <c r="E50" s="134">
        <f>LOOKUP(G50,'IB-IM et VP'!A:A,'IB-IM et VP'!C:C)</f>
        <v>489</v>
      </c>
      <c r="F50" s="155">
        <f>E50*'IB-IM et VP'!P41</f>
        <v>2277.7986749999995</v>
      </c>
      <c r="G50" s="134">
        <v>579</v>
      </c>
      <c r="H50" s="227" t="s">
        <v>56</v>
      </c>
      <c r="I50" s="124"/>
      <c r="J50" s="225">
        <v>4</v>
      </c>
      <c r="K50" s="135" t="s">
        <v>45</v>
      </c>
      <c r="L50" s="134">
        <f>LOOKUP(N50,'IB-IM et VP'!A:A,'IB-IM et VP'!C:C)</f>
        <v>495</v>
      </c>
      <c r="M50" s="155">
        <f>L50*'IB-IM et VP'!P40</f>
        <v>2305.7471249999999</v>
      </c>
      <c r="N50" s="134">
        <v>587</v>
      </c>
      <c r="O50" s="36"/>
      <c r="P50" s="198">
        <f>M1</f>
        <v>41680</v>
      </c>
      <c r="Q50" s="36"/>
      <c r="T50" s="36"/>
      <c r="W50" s="36"/>
    </row>
    <row r="51" spans="2:23" ht="21" x14ac:dyDescent="0.25">
      <c r="B51" s="124"/>
      <c r="C51" s="225">
        <v>6</v>
      </c>
      <c r="D51" s="135" t="s">
        <v>45</v>
      </c>
      <c r="E51" s="134">
        <f>LOOKUP(G51,'IB-IM et VP'!A:A,'IB-IM et VP'!C:C)</f>
        <v>513</v>
      </c>
      <c r="F51" s="155">
        <f>E51*'IB-IM et VP'!P42</f>
        <v>2389.5924749999995</v>
      </c>
      <c r="G51" s="134">
        <v>611</v>
      </c>
      <c r="H51" s="227" t="s">
        <v>56</v>
      </c>
      <c r="I51" s="124"/>
      <c r="J51" s="225">
        <v>5</v>
      </c>
      <c r="K51" s="135" t="s">
        <v>45</v>
      </c>
      <c r="L51" s="134">
        <f>LOOKUP(N51,'IB-IM et VP'!A:A,'IB-IM et VP'!C:C)</f>
        <v>519</v>
      </c>
      <c r="M51" s="155">
        <f>L51*'IB-IM et VP'!P41</f>
        <v>2417.5409249999998</v>
      </c>
      <c r="N51" s="134">
        <v>619</v>
      </c>
      <c r="O51" s="105"/>
      <c r="P51" s="195">
        <f>M1</f>
        <v>41680</v>
      </c>
      <c r="Q51" s="36"/>
      <c r="T51" s="36"/>
      <c r="W51" s="36"/>
    </row>
    <row r="52" spans="2:23" ht="21" x14ac:dyDescent="0.25">
      <c r="B52" s="124"/>
      <c r="C52" s="225">
        <v>7</v>
      </c>
      <c r="D52" s="135" t="s">
        <v>46</v>
      </c>
      <c r="E52" s="134">
        <f>LOOKUP(G52,'IB-IM et VP'!A:A,'IB-IM et VP'!C:C)</f>
        <v>537</v>
      </c>
      <c r="F52" s="155">
        <f>E52*'IB-IM et VP'!P43</f>
        <v>2501.3862749999998</v>
      </c>
      <c r="G52" s="134">
        <v>642</v>
      </c>
      <c r="H52" s="227" t="s">
        <v>131</v>
      </c>
      <c r="I52" s="124"/>
      <c r="J52" s="225">
        <v>6</v>
      </c>
      <c r="K52" s="135" t="s">
        <v>130</v>
      </c>
      <c r="L52" s="134">
        <f>LOOKUP(N52,'IB-IM et VP'!A:A,'IB-IM et VP'!C:C)</f>
        <v>543</v>
      </c>
      <c r="M52" s="155">
        <f>L52*'IB-IM et VP'!P42</f>
        <v>2529.3347249999997</v>
      </c>
      <c r="N52" s="134">
        <v>650</v>
      </c>
      <c r="O52" s="36"/>
      <c r="P52" s="195">
        <f>AD82</f>
        <v>41504</v>
      </c>
      <c r="Q52" s="36"/>
      <c r="T52" s="36"/>
      <c r="W52" s="36"/>
    </row>
    <row r="53" spans="2:23" ht="21" x14ac:dyDescent="0.25">
      <c r="B53" s="124"/>
      <c r="C53" s="225">
        <v>8</v>
      </c>
      <c r="D53" s="135" t="s">
        <v>47</v>
      </c>
      <c r="E53" s="134">
        <f>LOOKUP(G53,'IB-IM et VP'!A:A,'IB-IM et VP'!C:C)</f>
        <v>562</v>
      </c>
      <c r="F53" s="155">
        <f>E53*'IB-IM et VP'!P44</f>
        <v>2617.8381499999996</v>
      </c>
      <c r="G53" s="134">
        <v>675</v>
      </c>
      <c r="H53" s="227" t="s">
        <v>56</v>
      </c>
      <c r="I53" s="124"/>
      <c r="J53" s="225">
        <v>7</v>
      </c>
      <c r="K53" s="135" t="s">
        <v>47</v>
      </c>
      <c r="L53" s="134">
        <f>LOOKUP(N53,'IB-IM et VP'!A:A,'IB-IM et VP'!C:C)</f>
        <v>571</v>
      </c>
      <c r="M53" s="155">
        <f>L53*'IB-IM et VP'!P43</f>
        <v>2659.7608249999994</v>
      </c>
      <c r="N53" s="134">
        <v>687</v>
      </c>
      <c r="O53" s="105"/>
      <c r="P53" s="195">
        <f>M1</f>
        <v>41680</v>
      </c>
      <c r="Q53" s="36"/>
      <c r="T53" s="36"/>
      <c r="W53" s="36"/>
    </row>
    <row r="54" spans="2:23" ht="21" x14ac:dyDescent="0.25">
      <c r="B54" s="124"/>
      <c r="C54" s="225">
        <v>9</v>
      </c>
      <c r="D54" s="135" t="s">
        <v>47</v>
      </c>
      <c r="E54" s="134">
        <f>LOOKUP(G54,'IB-IM et VP'!A:A,'IB-IM et VP'!C:C)</f>
        <v>589</v>
      </c>
      <c r="F54" s="155">
        <f>E54*'IB-IM et VP'!P45</f>
        <v>2743.6061749999994</v>
      </c>
      <c r="G54" s="134">
        <v>710</v>
      </c>
      <c r="H54" s="227" t="s">
        <v>56</v>
      </c>
      <c r="I54" s="124"/>
      <c r="J54" s="225">
        <v>8</v>
      </c>
      <c r="K54" s="135" t="s">
        <v>47</v>
      </c>
      <c r="L54" s="134">
        <f>LOOKUP(N54,'IB-IM et VP'!A:A,'IB-IM et VP'!C:C)</f>
        <v>595</v>
      </c>
      <c r="M54" s="155">
        <f>L54*'IB-IM et VP'!P44</f>
        <v>2771.5546249999998</v>
      </c>
      <c r="N54" s="134">
        <v>718</v>
      </c>
      <c r="O54" s="36"/>
      <c r="P54" s="198">
        <f>M1</f>
        <v>41680</v>
      </c>
      <c r="Q54" s="36"/>
      <c r="T54" s="36"/>
      <c r="W54" s="36"/>
    </row>
    <row r="55" spans="2:23" ht="21" x14ac:dyDescent="0.25">
      <c r="B55" s="124"/>
      <c r="C55" s="225">
        <v>10</v>
      </c>
      <c r="D55" s="135" t="s">
        <v>47</v>
      </c>
      <c r="E55" s="134">
        <f>LOOKUP(G55,'IB-IM et VP'!A:A,'IB-IM et VP'!C:C)</f>
        <v>612</v>
      </c>
      <c r="F55" s="155">
        <f>E55*'IB-IM et VP'!P46</f>
        <v>2850.7418999999995</v>
      </c>
      <c r="G55" s="134">
        <v>741</v>
      </c>
      <c r="H55" s="227" t="s">
        <v>56</v>
      </c>
      <c r="I55" s="124"/>
      <c r="J55" s="225">
        <v>9</v>
      </c>
      <c r="K55" s="135" t="s">
        <v>47</v>
      </c>
      <c r="L55" s="134">
        <f>LOOKUP(N55,'IB-IM et VP'!A:A,'IB-IM et VP'!C:C)</f>
        <v>618</v>
      </c>
      <c r="M55" s="155">
        <f>L55*'IB-IM et VP'!P45</f>
        <v>2878.6903499999994</v>
      </c>
      <c r="N55" s="134">
        <v>748</v>
      </c>
      <c r="O55" s="105"/>
      <c r="P55" s="195">
        <f>M1</f>
        <v>41680</v>
      </c>
      <c r="Q55" s="36"/>
      <c r="T55" s="36"/>
      <c r="W55" s="36"/>
    </row>
    <row r="56" spans="2:23" ht="21" x14ac:dyDescent="0.25">
      <c r="B56" s="124"/>
      <c r="C56" s="225">
        <v>11</v>
      </c>
      <c r="D56" s="135"/>
      <c r="E56" s="134">
        <f>LOOKUP(G56,'IB-IM et VP'!A:A,'IB-IM et VP'!C:C)</f>
        <v>635</v>
      </c>
      <c r="F56" s="155">
        <f>E56*'IB-IM et VP'!P47</f>
        <v>2957.8776249999996</v>
      </c>
      <c r="G56" s="134">
        <v>772</v>
      </c>
      <c r="H56" s="227" t="s">
        <v>56</v>
      </c>
      <c r="I56" s="124"/>
      <c r="J56" s="225">
        <v>10</v>
      </c>
      <c r="K56" s="135"/>
      <c r="L56" s="134">
        <f>LOOKUP(N56,'IB-IM et VP'!A:A,'IB-IM et VP'!C:C)</f>
        <v>641</v>
      </c>
      <c r="M56" s="155">
        <f>L56*'IB-IM et VP'!P46</f>
        <v>2985.8260749999995</v>
      </c>
      <c r="N56" s="134">
        <v>779</v>
      </c>
      <c r="O56" s="105"/>
      <c r="P56" s="195">
        <f>M1</f>
        <v>41680</v>
      </c>
      <c r="Q56" s="36"/>
      <c r="T56" s="36"/>
      <c r="W56" s="36"/>
    </row>
    <row r="57" spans="2:23" ht="21" x14ac:dyDescent="0.25">
      <c r="B57" s="124"/>
      <c r="C57" s="136"/>
      <c r="D57" s="136"/>
      <c r="E57" s="138"/>
      <c r="F57" s="152"/>
      <c r="G57" s="138"/>
      <c r="H57" s="136"/>
      <c r="I57" s="124"/>
      <c r="J57" s="136"/>
      <c r="K57" s="136"/>
      <c r="L57" s="138"/>
      <c r="M57" s="152"/>
      <c r="N57" s="138"/>
      <c r="O57" s="36"/>
      <c r="P57" s="221"/>
      <c r="Q57" s="36"/>
      <c r="T57" s="36"/>
      <c r="W57" s="36"/>
    </row>
    <row r="58" spans="2:23" ht="21" x14ac:dyDescent="0.25">
      <c r="B58" s="124"/>
      <c r="C58" s="136"/>
      <c r="D58" s="136"/>
      <c r="E58" s="138"/>
      <c r="F58" s="152"/>
      <c r="G58" s="138"/>
      <c r="H58" s="136"/>
      <c r="I58" s="124"/>
      <c r="J58" s="136"/>
      <c r="K58" s="136"/>
      <c r="L58" s="138"/>
      <c r="M58" s="152"/>
      <c r="N58" s="138"/>
      <c r="O58" s="36"/>
      <c r="P58" s="221"/>
      <c r="Q58" s="36"/>
      <c r="T58" s="36"/>
      <c r="W58" s="36"/>
    </row>
    <row r="59" spans="2:23" ht="21" x14ac:dyDescent="0.25">
      <c r="B59" s="124"/>
      <c r="C59" s="136"/>
      <c r="D59" s="136"/>
      <c r="E59" s="138"/>
      <c r="F59" s="152"/>
      <c r="G59" s="138"/>
      <c r="H59" s="136"/>
      <c r="I59" s="124"/>
      <c r="J59" s="136"/>
      <c r="K59" s="136"/>
      <c r="L59" s="138"/>
      <c r="M59" s="152"/>
      <c r="N59" s="138"/>
      <c r="O59" s="36"/>
      <c r="P59" s="221"/>
      <c r="Q59" s="36"/>
      <c r="T59" s="36"/>
      <c r="W59" s="36"/>
    </row>
    <row r="60" spans="2:23" ht="21.75" thickBot="1" x14ac:dyDescent="0.3">
      <c r="B60" s="124" t="s">
        <v>105</v>
      </c>
      <c r="C60" s="136"/>
      <c r="D60" s="136"/>
      <c r="E60" s="138"/>
      <c r="F60" s="152"/>
      <c r="G60" s="125"/>
      <c r="H60" s="136"/>
      <c r="I60" s="124" t="s">
        <v>105</v>
      </c>
      <c r="J60" s="136"/>
      <c r="K60" s="136"/>
      <c r="L60" s="138"/>
      <c r="M60" s="152"/>
      <c r="N60" s="125"/>
      <c r="O60" s="36"/>
      <c r="P60" s="221"/>
      <c r="Q60" s="36"/>
      <c r="T60" s="36"/>
      <c r="W60" s="36"/>
    </row>
    <row r="61" spans="2:23" ht="21.75" thickBot="1" x14ac:dyDescent="0.3">
      <c r="B61" s="147" t="s">
        <v>104</v>
      </c>
      <c r="C61" s="143" t="s">
        <v>37</v>
      </c>
      <c r="D61" s="143" t="s">
        <v>38</v>
      </c>
      <c r="E61" s="143" t="s">
        <v>39</v>
      </c>
      <c r="F61" s="153" t="s">
        <v>40</v>
      </c>
      <c r="G61" s="143" t="s">
        <v>107</v>
      </c>
      <c r="H61" s="136"/>
      <c r="I61" s="147" t="s">
        <v>104</v>
      </c>
      <c r="J61" s="143" t="s">
        <v>37</v>
      </c>
      <c r="K61" s="143" t="s">
        <v>38</v>
      </c>
      <c r="L61" s="143" t="s">
        <v>39</v>
      </c>
      <c r="M61" s="153" t="s">
        <v>40</v>
      </c>
      <c r="N61" s="143" t="s">
        <v>107</v>
      </c>
      <c r="O61" s="36"/>
      <c r="P61" s="221"/>
      <c r="Q61" s="36"/>
      <c r="T61" s="36"/>
      <c r="W61" s="36"/>
    </row>
    <row r="62" spans="2:23" ht="21" x14ac:dyDescent="0.25">
      <c r="B62" s="136"/>
      <c r="C62" s="144"/>
      <c r="D62" s="144"/>
      <c r="E62" s="143" t="s">
        <v>41</v>
      </c>
      <c r="F62" s="153" t="s">
        <v>42</v>
      </c>
      <c r="G62" s="154">
        <v>42370</v>
      </c>
      <c r="H62" s="136"/>
      <c r="I62" s="136"/>
      <c r="J62" s="144"/>
      <c r="K62" s="144"/>
      <c r="L62" s="143" t="s">
        <v>41</v>
      </c>
      <c r="M62" s="153" t="s">
        <v>42</v>
      </c>
      <c r="N62" s="154">
        <v>42736</v>
      </c>
      <c r="O62" s="36"/>
      <c r="P62" s="221"/>
      <c r="Q62" s="36"/>
      <c r="T62" s="36"/>
      <c r="W62" s="36"/>
    </row>
    <row r="63" spans="2:23" ht="21" x14ac:dyDescent="0.25">
      <c r="B63" s="124"/>
      <c r="C63" s="225">
        <v>1</v>
      </c>
      <c r="D63" s="135" t="s">
        <v>44</v>
      </c>
      <c r="E63" s="134">
        <f>LOOKUP(G63,'IB-IM et VP'!A:A,'IB-IM et VP'!C:C)</f>
        <v>529</v>
      </c>
      <c r="F63" s="155">
        <f>E63*'IB-IM et VP'!P55</f>
        <v>2464.1216749999994</v>
      </c>
      <c r="G63" s="134">
        <v>631</v>
      </c>
      <c r="H63" s="227" t="s">
        <v>57</v>
      </c>
      <c r="I63" s="124"/>
      <c r="J63" s="225">
        <v>1</v>
      </c>
      <c r="K63" s="135" t="s">
        <v>45</v>
      </c>
      <c r="L63" s="134">
        <f>LOOKUP(N63,'IB-IM et VP'!A:A,'IB-IM et VP'!C:C)</f>
        <v>545</v>
      </c>
      <c r="M63" s="155">
        <f>L63*'IB-IM et VP'!P55</f>
        <v>2538.6508749999998</v>
      </c>
      <c r="N63" s="134">
        <v>653</v>
      </c>
      <c r="O63" s="36"/>
      <c r="P63" s="198">
        <f>B73</f>
        <v>42736</v>
      </c>
      <c r="Q63" s="36"/>
      <c r="T63" s="36"/>
      <c r="W63" s="36"/>
    </row>
    <row r="64" spans="2:23" ht="21" x14ac:dyDescent="0.25">
      <c r="B64" s="124"/>
      <c r="C64" s="225">
        <v>2</v>
      </c>
      <c r="D64" s="135" t="s">
        <v>45</v>
      </c>
      <c r="E64" s="134">
        <f>LOOKUP(G64,'IB-IM et VP'!A:A,'IB-IM et VP'!C:C)</f>
        <v>539</v>
      </c>
      <c r="F64" s="155">
        <f>E64*'IB-IM et VP'!P56</f>
        <v>2510.7024249999995</v>
      </c>
      <c r="G64" s="134">
        <v>645</v>
      </c>
      <c r="H64" s="227" t="s">
        <v>56</v>
      </c>
      <c r="I64" s="124"/>
      <c r="J64" s="225">
        <v>1</v>
      </c>
      <c r="K64" s="135" t="s">
        <v>45</v>
      </c>
      <c r="L64" s="134">
        <f>LOOKUP(N64,'IB-IM et VP'!A:A,'IB-IM et VP'!C:C)</f>
        <v>545</v>
      </c>
      <c r="M64" s="155">
        <f>L64*'IB-IM et VP'!P56</f>
        <v>2538.6508749999998</v>
      </c>
      <c r="N64" s="134">
        <v>653</v>
      </c>
      <c r="O64" s="105"/>
      <c r="P64" s="195">
        <f>M1</f>
        <v>41680</v>
      </c>
      <c r="Q64" s="36"/>
      <c r="T64" s="36"/>
      <c r="W64" s="36"/>
    </row>
    <row r="65" spans="2:42" ht="21" x14ac:dyDescent="0.25">
      <c r="B65" s="124"/>
      <c r="C65" s="225">
        <v>3</v>
      </c>
      <c r="D65" s="135" t="s">
        <v>46</v>
      </c>
      <c r="E65" s="134">
        <f>LOOKUP(G65,'IB-IM et VP'!A:A,'IB-IM et VP'!C:C)</f>
        <v>555</v>
      </c>
      <c r="F65" s="155">
        <f>E65*'IB-IM et VP'!P57</f>
        <v>2585.2316249999994</v>
      </c>
      <c r="G65" s="134">
        <v>665</v>
      </c>
      <c r="H65" s="227" t="s">
        <v>56</v>
      </c>
      <c r="I65" s="124"/>
      <c r="J65" s="225">
        <v>2</v>
      </c>
      <c r="K65" s="135" t="s">
        <v>46</v>
      </c>
      <c r="L65" s="134">
        <f>LOOKUP(N65,'IB-IM et VP'!A:A,'IB-IM et VP'!C:C)</f>
        <v>561</v>
      </c>
      <c r="M65" s="155">
        <f>L65*'IB-IM et VP'!P56</f>
        <v>2613.1800749999998</v>
      </c>
      <c r="N65" s="134">
        <v>674</v>
      </c>
      <c r="O65" s="36"/>
      <c r="P65" s="198">
        <f>M1</f>
        <v>41680</v>
      </c>
      <c r="Q65" s="36"/>
      <c r="T65" s="36"/>
      <c r="W65" s="36"/>
    </row>
    <row r="66" spans="2:42" ht="21" x14ac:dyDescent="0.25">
      <c r="B66" s="124"/>
      <c r="C66" s="225">
        <v>4</v>
      </c>
      <c r="D66" s="135" t="s">
        <v>47</v>
      </c>
      <c r="E66" s="134">
        <f>LOOKUP(G66,'IB-IM et VP'!A:A,'IB-IM et VP'!C:C)</f>
        <v>578</v>
      </c>
      <c r="F66" s="155">
        <f>E66*'IB-IM et VP'!P58</f>
        <v>2692.3673499999995</v>
      </c>
      <c r="G66" s="134">
        <v>696</v>
      </c>
      <c r="H66" s="227" t="s">
        <v>56</v>
      </c>
      <c r="I66" s="124"/>
      <c r="J66" s="225">
        <v>3</v>
      </c>
      <c r="K66" s="135" t="s">
        <v>47</v>
      </c>
      <c r="L66" s="134">
        <f>LOOKUP(N66,'IB-IM et VP'!A:A,'IB-IM et VP'!C:C)</f>
        <v>584</v>
      </c>
      <c r="M66" s="155">
        <f>L66*'IB-IM et VP'!P57</f>
        <v>2720.3157999999994</v>
      </c>
      <c r="N66" s="134">
        <v>704</v>
      </c>
      <c r="O66" s="105"/>
      <c r="P66" s="195">
        <f>M1</f>
        <v>41680</v>
      </c>
      <c r="Q66" s="36"/>
      <c r="T66" s="36"/>
      <c r="W66" s="36"/>
    </row>
    <row r="67" spans="2:42" ht="21" x14ac:dyDescent="0.25">
      <c r="B67" s="124"/>
      <c r="C67" s="225">
        <v>5</v>
      </c>
      <c r="D67" s="135" t="s">
        <v>47</v>
      </c>
      <c r="E67" s="134">
        <f>LOOKUP(G67,'IB-IM et VP'!A:A,'IB-IM et VP'!C:C)</f>
        <v>599</v>
      </c>
      <c r="F67" s="155">
        <f>E67*'IB-IM et VP'!P59</f>
        <v>2790.1869249999995</v>
      </c>
      <c r="G67" s="134">
        <v>724</v>
      </c>
      <c r="H67" s="227" t="s">
        <v>56</v>
      </c>
      <c r="I67" s="124"/>
      <c r="J67" s="225">
        <v>4</v>
      </c>
      <c r="K67" s="135" t="s">
        <v>47</v>
      </c>
      <c r="L67" s="134">
        <f>LOOKUP(N67,'IB-IM et VP'!A:A,'IB-IM et VP'!C:C)</f>
        <v>605</v>
      </c>
      <c r="M67" s="155">
        <f>L67*'IB-IM et VP'!P58</f>
        <v>2818.1353749999994</v>
      </c>
      <c r="N67" s="134">
        <v>732</v>
      </c>
      <c r="O67" s="36"/>
      <c r="P67" s="198">
        <f>M1</f>
        <v>41680</v>
      </c>
      <c r="Q67" s="36"/>
      <c r="T67" s="36"/>
      <c r="W67" s="36"/>
    </row>
    <row r="68" spans="2:42" ht="21" x14ac:dyDescent="0.25">
      <c r="B68" s="124"/>
      <c r="C68" s="225">
        <v>6</v>
      </c>
      <c r="D68" s="135" t="s">
        <v>47</v>
      </c>
      <c r="E68" s="134">
        <f>LOOKUP(G68,'IB-IM et VP'!A:A,'IB-IM et VP'!C:C)</f>
        <v>620</v>
      </c>
      <c r="F68" s="155">
        <f>E68*'IB-IM et VP'!P60</f>
        <v>2888.0064999999995</v>
      </c>
      <c r="G68" s="134">
        <v>751</v>
      </c>
      <c r="H68" s="227" t="s">
        <v>56</v>
      </c>
      <c r="I68" s="124"/>
      <c r="J68" s="225">
        <v>5</v>
      </c>
      <c r="K68" s="135" t="s">
        <v>47</v>
      </c>
      <c r="L68" s="134">
        <f>LOOKUP(N68,'IB-IM et VP'!A:A,'IB-IM et VP'!C:C)</f>
        <v>626</v>
      </c>
      <c r="M68" s="155">
        <f>L68*'IB-IM et VP'!P59</f>
        <v>2915.9549499999994</v>
      </c>
      <c r="N68" s="134">
        <v>759</v>
      </c>
      <c r="O68" s="105"/>
      <c r="P68" s="195">
        <f>M1</f>
        <v>41680</v>
      </c>
      <c r="Q68" s="36"/>
      <c r="T68" s="36"/>
      <c r="W68" s="36"/>
    </row>
    <row r="69" spans="2:42" ht="21" x14ac:dyDescent="0.25">
      <c r="B69" s="124"/>
      <c r="C69" s="225">
        <v>7</v>
      </c>
      <c r="D69" s="135"/>
      <c r="E69" s="134">
        <f>LOOKUP(G69,'IB-IM et VP'!A:A,'IB-IM et VP'!C:C)</f>
        <v>646</v>
      </c>
      <c r="F69" s="155">
        <f>E69*'IB-IM et VP'!P61</f>
        <v>3009.1164499999995</v>
      </c>
      <c r="G69" s="134">
        <v>785</v>
      </c>
      <c r="H69" s="227" t="s">
        <v>56</v>
      </c>
      <c r="I69" s="124"/>
      <c r="J69" s="225">
        <v>6</v>
      </c>
      <c r="K69" s="135"/>
      <c r="L69" s="134">
        <f>LOOKUP(N69,'IB-IM et VP'!A:A,'IB-IM et VP'!C:C)</f>
        <v>652</v>
      </c>
      <c r="M69" s="155">
        <f>L69*'IB-IM et VP'!P60</f>
        <v>3037.0648999999994</v>
      </c>
      <c r="N69" s="134">
        <v>793</v>
      </c>
      <c r="O69" s="105"/>
      <c r="P69" s="195">
        <f>M1</f>
        <v>41680</v>
      </c>
      <c r="Q69" s="36"/>
      <c r="T69" s="36"/>
      <c r="W69" s="36"/>
    </row>
    <row r="70" spans="2:42" x14ac:dyDescent="0.25">
      <c r="B70" s="142"/>
      <c r="C70" s="136"/>
      <c r="D70" s="124"/>
      <c r="E70" s="124"/>
      <c r="F70" s="151"/>
      <c r="G70" s="124"/>
      <c r="H70" s="136"/>
      <c r="I70" s="124"/>
      <c r="J70" s="136"/>
      <c r="K70" s="124"/>
      <c r="L70" s="124"/>
      <c r="M70" s="151"/>
      <c r="N70" s="124"/>
      <c r="O70" s="36"/>
      <c r="P70" s="193"/>
      <c r="Q70" s="36"/>
      <c r="T70" s="36"/>
      <c r="W70" s="36"/>
    </row>
    <row r="71" spans="2:42" x14ac:dyDescent="0.25">
      <c r="B71" s="142"/>
      <c r="C71" s="136"/>
      <c r="D71" s="124"/>
      <c r="E71" s="124"/>
      <c r="F71" s="151"/>
      <c r="G71" s="124"/>
      <c r="H71" s="136"/>
      <c r="I71" s="124"/>
      <c r="J71" s="136"/>
      <c r="K71" s="124"/>
      <c r="L71" s="124"/>
      <c r="M71" s="151"/>
      <c r="N71" s="124"/>
      <c r="O71" s="36"/>
      <c r="P71" s="193"/>
      <c r="Q71" s="36"/>
      <c r="T71" s="36"/>
      <c r="W71" s="36"/>
    </row>
    <row r="72" spans="2:42" customFormat="1" ht="15.75" hidden="1" thickBot="1" x14ac:dyDescent="0.3">
      <c r="W72" s="121"/>
      <c r="AF72" s="101"/>
    </row>
    <row r="73" spans="2:42" s="40" customFormat="1" ht="15" hidden="1" customHeight="1" thickBot="1" x14ac:dyDescent="0.3">
      <c r="B73" s="377">
        <v>42736</v>
      </c>
      <c r="C73" s="378"/>
      <c r="D73" s="379"/>
      <c r="E73" s="380"/>
      <c r="F73" s="42"/>
      <c r="G73" s="43"/>
      <c r="H73" s="43"/>
      <c r="I73" s="381" t="s">
        <v>75</v>
      </c>
      <c r="J73" s="382"/>
      <c r="K73" s="382"/>
      <c r="L73" s="383"/>
      <c r="M73" s="44"/>
      <c r="N73" s="45"/>
      <c r="O73" s="384" t="s">
        <v>76</v>
      </c>
      <c r="P73" s="385"/>
      <c r="Q73" s="385"/>
      <c r="R73" s="386"/>
      <c r="S73" s="44"/>
      <c r="T73" s="45"/>
      <c r="U73" s="384" t="s">
        <v>77</v>
      </c>
      <c r="V73" s="385"/>
      <c r="W73" s="385"/>
      <c r="X73" s="386"/>
      <c r="Y73" s="46"/>
      <c r="Z73" s="45"/>
      <c r="AA73" s="384" t="s">
        <v>78</v>
      </c>
      <c r="AB73" s="385"/>
      <c r="AC73" s="385"/>
      <c r="AD73" s="386"/>
      <c r="AF73" s="102"/>
      <c r="AG73" s="384" t="s">
        <v>138</v>
      </c>
      <c r="AH73" s="385"/>
      <c r="AI73" s="385"/>
      <c r="AJ73" s="386"/>
      <c r="AL73" s="102"/>
      <c r="AM73" s="384" t="s">
        <v>167</v>
      </c>
      <c r="AN73" s="385"/>
      <c r="AO73" s="385"/>
      <c r="AP73" s="386"/>
    </row>
    <row r="74" spans="2:42" customFormat="1" ht="23.25" hidden="1" thickBot="1" x14ac:dyDescent="0.3">
      <c r="B74" s="74"/>
      <c r="C74" s="47"/>
      <c r="D74" s="48" t="s">
        <v>79</v>
      </c>
      <c r="E74" s="49" t="s">
        <v>80</v>
      </c>
      <c r="F74" s="49"/>
      <c r="G74" s="49"/>
      <c r="H74" s="49"/>
      <c r="I74" s="50" t="s">
        <v>81</v>
      </c>
      <c r="J74" s="51" t="s">
        <v>82</v>
      </c>
      <c r="K74" s="51" t="s">
        <v>83</v>
      </c>
      <c r="L74" s="52" t="s">
        <v>84</v>
      </c>
      <c r="M74" s="53"/>
      <c r="N74" s="54"/>
      <c r="O74" s="50" t="s">
        <v>81</v>
      </c>
      <c r="P74" s="51" t="s">
        <v>82</v>
      </c>
      <c r="Q74" s="51" t="s">
        <v>83</v>
      </c>
      <c r="R74" s="55" t="s">
        <v>84</v>
      </c>
      <c r="S74" s="53"/>
      <c r="T74" s="54"/>
      <c r="U74" s="50" t="s">
        <v>81</v>
      </c>
      <c r="V74" s="51" t="s">
        <v>82</v>
      </c>
      <c r="W74" s="51" t="s">
        <v>83</v>
      </c>
      <c r="X74" s="55" t="s">
        <v>84</v>
      </c>
      <c r="Y74" s="56"/>
      <c r="Z74" s="57"/>
      <c r="AA74" s="50" t="s">
        <v>81</v>
      </c>
      <c r="AB74" s="51" t="s">
        <v>82</v>
      </c>
      <c r="AC74" s="51" t="s">
        <v>83</v>
      </c>
      <c r="AD74" s="55" t="s">
        <v>84</v>
      </c>
      <c r="AF74" s="103"/>
      <c r="AG74" s="50" t="s">
        <v>81</v>
      </c>
      <c r="AH74" s="51" t="s">
        <v>82</v>
      </c>
      <c r="AI74" s="51" t="s">
        <v>83</v>
      </c>
      <c r="AJ74" s="55" t="s">
        <v>84</v>
      </c>
      <c r="AL74" s="103"/>
      <c r="AM74" s="50" t="s">
        <v>81</v>
      </c>
      <c r="AN74" s="51" t="s">
        <v>82</v>
      </c>
      <c r="AO74" s="51" t="s">
        <v>83</v>
      </c>
      <c r="AP74" s="55" t="s">
        <v>84</v>
      </c>
    </row>
    <row r="75" spans="2:42" customFormat="1" ht="16.5" hidden="1" thickTop="1" thickBot="1" x14ac:dyDescent="0.3">
      <c r="I75" s="12"/>
      <c r="J75" s="12"/>
      <c r="K75" s="12"/>
      <c r="L75" s="12"/>
      <c r="O75" s="12"/>
      <c r="P75" s="12"/>
      <c r="Q75" s="12"/>
      <c r="R75" s="12"/>
      <c r="U75" s="12"/>
      <c r="V75" s="12"/>
      <c r="W75" s="192"/>
      <c r="X75" s="12"/>
      <c r="AA75" s="12"/>
      <c r="AB75" s="12"/>
      <c r="AC75" s="12"/>
      <c r="AD75" s="12"/>
      <c r="AF75" s="101"/>
      <c r="AG75" s="12"/>
      <c r="AH75" s="12"/>
      <c r="AI75" s="12"/>
      <c r="AJ75" s="12"/>
      <c r="AL75" s="101"/>
      <c r="AM75" s="12"/>
      <c r="AN75" s="12"/>
      <c r="AO75" s="12"/>
      <c r="AP75" s="12"/>
    </row>
    <row r="76" spans="2:42" customFormat="1" ht="16.5" hidden="1" thickTop="1" thickBot="1" x14ac:dyDescent="0.3">
      <c r="B76" s="121"/>
      <c r="C76" s="41">
        <f>B73</f>
        <v>42736</v>
      </c>
      <c r="D76" s="58">
        <f>M1</f>
        <v>41680</v>
      </c>
      <c r="E76" s="59">
        <f>F76/30.5</f>
        <v>34.622950819672134</v>
      </c>
      <c r="F76" s="60">
        <f>C76-D76</f>
        <v>1056</v>
      </c>
      <c r="G76" s="61"/>
      <c r="H76" s="61">
        <f>F76*1/2</f>
        <v>528</v>
      </c>
      <c r="I76" s="62">
        <f>INT(E76*1/2/12)</f>
        <v>1</v>
      </c>
      <c r="J76" s="63">
        <f>INT(E76*1/2-(I76*12))</f>
        <v>5</v>
      </c>
      <c r="K76" s="64">
        <f>ROUND((E76*1/2-(I76*12)-J76)*30,0)</f>
        <v>9</v>
      </c>
      <c r="L76" s="86">
        <f>C76-H76</f>
        <v>42208</v>
      </c>
      <c r="M76" s="65"/>
      <c r="N76" s="66">
        <f>F76*3/4</f>
        <v>792</v>
      </c>
      <c r="O76" s="62">
        <f>INT(E76*3/4/12)</f>
        <v>2</v>
      </c>
      <c r="P76" s="63">
        <f>INT(E76*3/4-(O76*12))</f>
        <v>1</v>
      </c>
      <c r="Q76" s="64">
        <f>ROUND((E76*3/4-(O76*12)-P76)*30,0)</f>
        <v>29</v>
      </c>
      <c r="R76" s="87">
        <f>C76-N76</f>
        <v>41944</v>
      </c>
      <c r="S76" s="65"/>
      <c r="T76" s="61">
        <f>F76*2/3</f>
        <v>704</v>
      </c>
      <c r="U76" s="62">
        <f>INT(E76*2/3/12)</f>
        <v>1</v>
      </c>
      <c r="V76" s="63">
        <f>INT(E76*2/3-(U76*12))</f>
        <v>11</v>
      </c>
      <c r="W76" s="228">
        <f>ROUND((E76*2/3-(U76*12)-V76)*30,0)</f>
        <v>2</v>
      </c>
      <c r="X76" s="87">
        <f>C76-T76</f>
        <v>42032</v>
      </c>
      <c r="Y76" s="67"/>
      <c r="Z76" s="66">
        <f>F76*4/3</f>
        <v>1408</v>
      </c>
      <c r="AA76" s="62">
        <f>INT(E76*4/3/12)</f>
        <v>3</v>
      </c>
      <c r="AB76" s="63">
        <f>INT(E76*4/3-(AA76*12))</f>
        <v>10</v>
      </c>
      <c r="AC76" s="64">
        <f>ROUND((E76*4/3-(AA76*12)-AB76)*30,0)</f>
        <v>5</v>
      </c>
      <c r="AD76" s="87">
        <f>C76-Z76</f>
        <v>41328</v>
      </c>
      <c r="AF76" s="100">
        <f>F76*2</f>
        <v>2112</v>
      </c>
      <c r="AG76" s="62">
        <f>INT(K76*4/3/12)</f>
        <v>1</v>
      </c>
      <c r="AH76" s="63">
        <f>INT(K76*4/3-(AG76*12))</f>
        <v>0</v>
      </c>
      <c r="AI76" s="64">
        <f>ROUND((K76*4/3-(AG76*12)-AH76)*30,0)</f>
        <v>0</v>
      </c>
      <c r="AJ76" s="87">
        <f>D76-AF76</f>
        <v>39568</v>
      </c>
      <c r="AL76" s="100">
        <f>F76*3</f>
        <v>3168</v>
      </c>
      <c r="AM76" s="62">
        <f>INT(Q76*4/3/12)</f>
        <v>3</v>
      </c>
      <c r="AN76" s="63">
        <f>INT(Q76*4/3-(AM76*12))</f>
        <v>2</v>
      </c>
      <c r="AO76" s="64">
        <f>ROUND((Q76*4/3-(AM76*12)-AN76)*30,0)</f>
        <v>20</v>
      </c>
      <c r="AP76" s="87">
        <f>D76-AL76</f>
        <v>38512</v>
      </c>
    </row>
    <row r="77" spans="2:42" customFormat="1" hidden="1" x14ac:dyDescent="0.25">
      <c r="C77" s="41"/>
      <c r="D77" s="75"/>
      <c r="E77" s="76"/>
      <c r="F77" s="60"/>
      <c r="G77" s="61"/>
      <c r="H77" s="61"/>
      <c r="I77" s="70"/>
      <c r="J77" s="70"/>
      <c r="K77" s="73"/>
      <c r="L77" s="77"/>
      <c r="M77" s="61"/>
      <c r="N77" s="66"/>
      <c r="O77" s="70"/>
      <c r="P77" s="70"/>
      <c r="Q77" s="73"/>
      <c r="R77" s="67"/>
      <c r="S77" s="61"/>
      <c r="T77" s="61"/>
      <c r="U77" s="70"/>
      <c r="V77" s="70"/>
      <c r="W77" s="229"/>
      <c r="X77" s="67"/>
      <c r="Y77" s="67"/>
      <c r="Z77" s="66"/>
      <c r="AA77" s="70"/>
      <c r="AB77" s="70"/>
      <c r="AC77" s="73"/>
      <c r="AD77" s="67"/>
      <c r="AF77" s="101"/>
    </row>
    <row r="78" spans="2:42" customFormat="1" ht="15.75" hidden="1" thickBot="1" x14ac:dyDescent="0.3">
      <c r="G78" s="12"/>
      <c r="W78" s="121"/>
      <c r="AF78" s="101"/>
    </row>
    <row r="79" spans="2:42" customFormat="1" ht="12.75" hidden="1" customHeight="1" x14ac:dyDescent="0.25">
      <c r="G79" s="12"/>
      <c r="I79" s="381" t="s">
        <v>85</v>
      </c>
      <c r="J79" s="382"/>
      <c r="K79" s="382"/>
      <c r="L79" s="383"/>
      <c r="O79" s="384" t="s">
        <v>90</v>
      </c>
      <c r="P79" s="385"/>
      <c r="Q79" s="385"/>
      <c r="R79" s="386"/>
      <c r="U79" s="384" t="s">
        <v>91</v>
      </c>
      <c r="V79" s="385"/>
      <c r="W79" s="385"/>
      <c r="X79" s="386"/>
      <c r="AA79" s="384" t="s">
        <v>132</v>
      </c>
      <c r="AB79" s="385"/>
      <c r="AC79" s="385"/>
      <c r="AD79" s="386"/>
      <c r="AF79" s="101"/>
      <c r="AG79" s="384" t="s">
        <v>141</v>
      </c>
      <c r="AH79" s="385"/>
      <c r="AI79" s="385"/>
      <c r="AJ79" s="386"/>
    </row>
    <row r="80" spans="2:42" customFormat="1" ht="23.25" hidden="1" thickBot="1" x14ac:dyDescent="0.3">
      <c r="G80" s="12"/>
      <c r="I80" s="50" t="s">
        <v>81</v>
      </c>
      <c r="J80" s="51" t="s">
        <v>82</v>
      </c>
      <c r="K80" s="51" t="s">
        <v>83</v>
      </c>
      <c r="L80" s="55" t="s">
        <v>84</v>
      </c>
      <c r="O80" s="50" t="s">
        <v>81</v>
      </c>
      <c r="P80" s="51" t="s">
        <v>82</v>
      </c>
      <c r="Q80" s="51" t="s">
        <v>83</v>
      </c>
      <c r="R80" s="55" t="s">
        <v>84</v>
      </c>
      <c r="U80" s="50" t="s">
        <v>81</v>
      </c>
      <c r="V80" s="51" t="s">
        <v>82</v>
      </c>
      <c r="W80" s="51" t="s">
        <v>83</v>
      </c>
      <c r="X80" s="55" t="s">
        <v>84</v>
      </c>
      <c r="AA80" s="50" t="s">
        <v>81</v>
      </c>
      <c r="AB80" s="51" t="s">
        <v>82</v>
      </c>
      <c r="AC80" s="51" t="s">
        <v>83</v>
      </c>
      <c r="AD80" s="55" t="s">
        <v>84</v>
      </c>
      <c r="AF80" s="101"/>
      <c r="AG80" s="50" t="s">
        <v>81</v>
      </c>
      <c r="AH80" s="51" t="s">
        <v>82</v>
      </c>
      <c r="AI80" s="51" t="s">
        <v>83</v>
      </c>
      <c r="AJ80" s="55" t="s">
        <v>84</v>
      </c>
    </row>
    <row r="81" spans="2:36" customFormat="1" ht="6" hidden="1" customHeight="1" thickBot="1" x14ac:dyDescent="0.3">
      <c r="G81" s="12"/>
      <c r="W81" s="121"/>
      <c r="AF81" s="101"/>
    </row>
    <row r="82" spans="2:36" customFormat="1" ht="16.5" hidden="1" thickTop="1" thickBot="1" x14ac:dyDescent="0.3">
      <c r="B82" s="121"/>
      <c r="C82" s="41">
        <f>B73</f>
        <v>42736</v>
      </c>
      <c r="D82" s="58">
        <f>M1</f>
        <v>41680</v>
      </c>
      <c r="E82" s="59">
        <f>F82/30.5</f>
        <v>34.622950819672134</v>
      </c>
      <c r="F82" s="60">
        <f>C82-D82</f>
        <v>1056</v>
      </c>
      <c r="G82" s="61"/>
      <c r="H82" s="61">
        <f>F82*3/2</f>
        <v>1584</v>
      </c>
      <c r="I82" s="62">
        <f>INT(E82*3/2/12)</f>
        <v>4</v>
      </c>
      <c r="J82" s="63">
        <f>INT(E82*3/2-(I82*12))</f>
        <v>3</v>
      </c>
      <c r="K82" s="64">
        <f>ROUND((E82*3/2-(I82*12)-J82)*30,0)</f>
        <v>28</v>
      </c>
      <c r="L82" s="86">
        <f>C82-H82</f>
        <v>41152</v>
      </c>
      <c r="M82" s="65"/>
      <c r="N82" s="66">
        <f>F82*5/4</f>
        <v>1320</v>
      </c>
      <c r="O82" s="62">
        <f>INT(E82*5/4/12)</f>
        <v>3</v>
      </c>
      <c r="P82" s="63">
        <f>INT(E82*5/4-(O82*12))</f>
        <v>7</v>
      </c>
      <c r="Q82" s="64">
        <f>ROUND((E82*5/4-(O82*12)-P82)*30,0)</f>
        <v>8</v>
      </c>
      <c r="R82" s="87">
        <f>C82-N82</f>
        <v>41416</v>
      </c>
      <c r="S82" s="65"/>
      <c r="T82" s="61">
        <f>F82*5/6</f>
        <v>880</v>
      </c>
      <c r="U82" s="62">
        <f>INT(E82*5/6/12)</f>
        <v>2</v>
      </c>
      <c r="V82" s="63">
        <f>INT(E82*5/6-(U82*12))</f>
        <v>4</v>
      </c>
      <c r="W82" s="228">
        <f>ROUND((E82*5/6-(U82*12)-V82)*30,0)</f>
        <v>26</v>
      </c>
      <c r="X82" s="87">
        <f>C82-T82</f>
        <v>41856</v>
      </c>
      <c r="Y82" s="67"/>
      <c r="Z82" s="66">
        <f>F82*7/6</f>
        <v>1232</v>
      </c>
      <c r="AA82" s="62">
        <f>INT(E82*7/6/12)</f>
        <v>3</v>
      </c>
      <c r="AB82" s="63">
        <f>INT(E82*7/6-(AA82*12))</f>
        <v>4</v>
      </c>
      <c r="AC82" s="64">
        <f>ROUND((E82*7/6-(AA82*12)-AB82)*30,0)</f>
        <v>12</v>
      </c>
      <c r="AD82" s="87">
        <f>C82-Z82</f>
        <v>41504</v>
      </c>
      <c r="AF82" s="100">
        <f>F82*6/7</f>
        <v>905.14285714285711</v>
      </c>
      <c r="AG82" s="62">
        <f>INT(K82*7/6/12)</f>
        <v>2</v>
      </c>
      <c r="AH82" s="63">
        <f>INT(K82*7/6-(AG82*12))</f>
        <v>8</v>
      </c>
      <c r="AI82" s="64">
        <f>ROUND((K82*7/6-(AG82*12)-AH82)*30,0)</f>
        <v>20</v>
      </c>
      <c r="AJ82" s="87">
        <f>C82-AF82</f>
        <v>41830.857142857145</v>
      </c>
    </row>
    <row r="83" spans="2:36" customFormat="1" hidden="1" x14ac:dyDescent="0.25">
      <c r="G83" s="12"/>
      <c r="W83" s="121"/>
      <c r="AF83" s="101"/>
    </row>
    <row r="84" spans="2:36" customFormat="1" ht="15.75" hidden="1" thickBot="1" x14ac:dyDescent="0.3">
      <c r="G84" s="12"/>
      <c r="W84" s="121"/>
      <c r="AF84" s="101"/>
    </row>
    <row r="85" spans="2:36" customFormat="1" ht="27.75" hidden="1" customHeight="1" x14ac:dyDescent="0.25">
      <c r="G85" s="12"/>
      <c r="I85" s="384" t="s">
        <v>92</v>
      </c>
      <c r="J85" s="385"/>
      <c r="K85" s="385"/>
      <c r="L85" s="386"/>
      <c r="O85" s="384" t="s">
        <v>93</v>
      </c>
      <c r="P85" s="385"/>
      <c r="Q85" s="385"/>
      <c r="R85" s="386"/>
      <c r="U85" s="384" t="s">
        <v>142</v>
      </c>
      <c r="V85" s="385"/>
      <c r="W85" s="385"/>
      <c r="X85" s="386"/>
      <c r="AF85" s="101"/>
    </row>
    <row r="86" spans="2:36" customFormat="1" ht="23.25" hidden="1" thickBot="1" x14ac:dyDescent="0.3">
      <c r="G86" s="12"/>
      <c r="I86" s="50" t="s">
        <v>81</v>
      </c>
      <c r="J86" s="51" t="s">
        <v>82</v>
      </c>
      <c r="K86" s="51" t="s">
        <v>83</v>
      </c>
      <c r="L86" s="55" t="s">
        <v>84</v>
      </c>
      <c r="O86" s="50" t="s">
        <v>81</v>
      </c>
      <c r="P86" s="51" t="s">
        <v>82</v>
      </c>
      <c r="Q86" s="51" t="s">
        <v>83</v>
      </c>
      <c r="R86" s="55" t="s">
        <v>84</v>
      </c>
      <c r="U86" s="50"/>
      <c r="V86" s="51"/>
      <c r="W86" s="51"/>
      <c r="X86" s="55"/>
      <c r="AF86" s="101"/>
    </row>
    <row r="87" spans="2:36" customFormat="1" ht="6" hidden="1" customHeight="1" thickBot="1" x14ac:dyDescent="0.3">
      <c r="G87" s="12"/>
      <c r="W87" s="121"/>
      <c r="AF87" s="101"/>
    </row>
    <row r="88" spans="2:36" customFormat="1" ht="16.5" hidden="1" thickTop="1" thickBot="1" x14ac:dyDescent="0.3">
      <c r="B88" s="121"/>
      <c r="C88" s="41">
        <f>B73</f>
        <v>42736</v>
      </c>
      <c r="D88" s="58">
        <f>M1+(6*30.5)-1</f>
        <v>41862</v>
      </c>
      <c r="E88" s="59">
        <f>F88/30.5</f>
        <v>28.655737704918032</v>
      </c>
      <c r="F88" s="60">
        <f>C88-D88</f>
        <v>874</v>
      </c>
      <c r="G88" s="61"/>
      <c r="H88" s="61">
        <f>F88*2/3</f>
        <v>582.66666666666663</v>
      </c>
      <c r="I88" s="62">
        <f>INT(E88*2/3/12)</f>
        <v>1</v>
      </c>
      <c r="J88" s="63">
        <f>INT(E88*2/3-(I88*12))</f>
        <v>7</v>
      </c>
      <c r="K88" s="64">
        <f>ROUND((E88*2/3-(I88*12)-J88)*30,0)</f>
        <v>3</v>
      </c>
      <c r="L88" s="86">
        <f>C88-H88</f>
        <v>42153.333333333336</v>
      </c>
      <c r="M88" s="65"/>
      <c r="N88" s="66">
        <f>F88*4/3</f>
        <v>1165.3333333333333</v>
      </c>
      <c r="O88" s="62">
        <f>INT(E88*4/3/12)</f>
        <v>3</v>
      </c>
      <c r="P88" s="63">
        <f>INT(E88*4/3-(O88*12))</f>
        <v>2</v>
      </c>
      <c r="Q88" s="64">
        <f>ROUND((E88*4/3-(O88*12)-P88)*30,0)</f>
        <v>6</v>
      </c>
      <c r="R88" s="87">
        <f>C88-N88</f>
        <v>41570.666666666664</v>
      </c>
      <c r="S88" s="61"/>
      <c r="T88" s="61">
        <f>F76*1/3</f>
        <v>352</v>
      </c>
      <c r="U88" s="62">
        <f>INT(E76*1/3/12)</f>
        <v>0</v>
      </c>
      <c r="V88" s="63">
        <f>INT(E76*1/3-(U88*12))</f>
        <v>11</v>
      </c>
      <c r="W88" s="228">
        <f>ROUND((E76*1/3-(U88*12)-V88)*30,0)</f>
        <v>16</v>
      </c>
      <c r="X88" s="87">
        <f>C76-T88</f>
        <v>42384</v>
      </c>
      <c r="Y88" s="67"/>
      <c r="Z88" s="66"/>
      <c r="AA88" s="70"/>
      <c r="AB88" s="70"/>
      <c r="AC88" s="73"/>
      <c r="AD88" s="67"/>
      <c r="AF88" s="101"/>
    </row>
    <row r="89" spans="2:36" customFormat="1" hidden="1" x14ac:dyDescent="0.25">
      <c r="G89" s="12"/>
      <c r="W89" s="121"/>
      <c r="AF89" s="101"/>
    </row>
    <row r="90" spans="2:36" customFormat="1" ht="15.75" hidden="1" thickBot="1" x14ac:dyDescent="0.3">
      <c r="G90" s="12"/>
      <c r="W90" s="121"/>
      <c r="AF90" s="101"/>
    </row>
    <row r="91" spans="2:36" customFormat="1" ht="27.75" hidden="1" customHeight="1" x14ac:dyDescent="0.25">
      <c r="G91" s="12"/>
      <c r="I91" s="384" t="s">
        <v>139</v>
      </c>
      <c r="J91" s="385"/>
      <c r="K91" s="385"/>
      <c r="L91" s="386"/>
      <c r="W91" s="121"/>
      <c r="AF91" s="101"/>
    </row>
    <row r="92" spans="2:36" customFormat="1" ht="23.25" hidden="1" thickBot="1" x14ac:dyDescent="0.3">
      <c r="G92" s="12"/>
      <c r="I92" s="50" t="s">
        <v>81</v>
      </c>
      <c r="J92" s="51" t="s">
        <v>82</v>
      </c>
      <c r="K92" s="51" t="s">
        <v>83</v>
      </c>
      <c r="L92" s="55" t="s">
        <v>84</v>
      </c>
      <c r="W92" s="121"/>
      <c r="AF92" s="101"/>
    </row>
    <row r="93" spans="2:36" customFormat="1" ht="15.75" hidden="1" thickBot="1" x14ac:dyDescent="0.3">
      <c r="G93" s="12"/>
      <c r="W93" s="121"/>
      <c r="AF93" s="101"/>
    </row>
    <row r="94" spans="2:36" customFormat="1" ht="16.5" hidden="1" thickTop="1" thickBot="1" x14ac:dyDescent="0.3">
      <c r="C94" s="41">
        <f>B73</f>
        <v>42736</v>
      </c>
      <c r="D94" s="58">
        <f>M1+(12*30.5)-1</f>
        <v>42045</v>
      </c>
      <c r="E94" s="59">
        <f>F94/30.5</f>
        <v>22.655737704918032</v>
      </c>
      <c r="F94" s="60">
        <f>C94-D94</f>
        <v>691</v>
      </c>
      <c r="G94" s="12"/>
      <c r="H94" s="68">
        <f>F94</f>
        <v>691</v>
      </c>
      <c r="I94" s="62">
        <f>INT(E94*2/3/12)</f>
        <v>1</v>
      </c>
      <c r="J94" s="63">
        <f>INT(E94*2/3-(I94*12))</f>
        <v>3</v>
      </c>
      <c r="K94" s="64">
        <f>ROUND((E94*2/3-(I94*12)-J94)*30,0)</f>
        <v>3</v>
      </c>
      <c r="L94" s="86">
        <f>C94-H94</f>
        <v>42045</v>
      </c>
      <c r="W94" s="121"/>
      <c r="AF94" s="101"/>
    </row>
    <row r="95" spans="2:36" customFormat="1" hidden="1" x14ac:dyDescent="0.25">
      <c r="G95" s="12"/>
      <c r="W95" s="121"/>
      <c r="AF95" s="101"/>
    </row>
    <row r="96" spans="2:36" customFormat="1" ht="15.75" hidden="1" thickBot="1" x14ac:dyDescent="0.3">
      <c r="G96" s="12"/>
      <c r="W96" s="121"/>
      <c r="AF96" s="101"/>
    </row>
    <row r="97" spans="2:32" customFormat="1" ht="27.75" hidden="1" customHeight="1" x14ac:dyDescent="0.25">
      <c r="G97" s="12"/>
      <c r="I97" s="384" t="s">
        <v>94</v>
      </c>
      <c r="J97" s="385"/>
      <c r="K97" s="385"/>
      <c r="L97" s="386"/>
      <c r="O97" s="384" t="s">
        <v>95</v>
      </c>
      <c r="P97" s="385"/>
      <c r="Q97" s="385"/>
      <c r="R97" s="386"/>
      <c r="W97" s="121"/>
      <c r="AF97" s="101"/>
    </row>
    <row r="98" spans="2:32" customFormat="1" ht="23.25" hidden="1" thickBot="1" x14ac:dyDescent="0.3">
      <c r="G98" s="12"/>
      <c r="I98" s="50" t="s">
        <v>81</v>
      </c>
      <c r="J98" s="51" t="s">
        <v>82</v>
      </c>
      <c r="K98" s="51" t="s">
        <v>83</v>
      </c>
      <c r="L98" s="55" t="s">
        <v>84</v>
      </c>
      <c r="O98" s="50" t="s">
        <v>81</v>
      </c>
      <c r="P98" s="51" t="s">
        <v>82</v>
      </c>
      <c r="Q98" s="51" t="s">
        <v>83</v>
      </c>
      <c r="R98" s="55" t="s">
        <v>84</v>
      </c>
      <c r="W98" s="121"/>
      <c r="AF98" s="101"/>
    </row>
    <row r="99" spans="2:32" customFormat="1" ht="6" hidden="1" customHeight="1" thickBot="1" x14ac:dyDescent="0.3">
      <c r="G99" s="12"/>
      <c r="W99" s="121"/>
      <c r="AF99" s="101"/>
    </row>
    <row r="100" spans="2:32" customFormat="1" ht="16.5" hidden="1" thickTop="1" thickBot="1" x14ac:dyDescent="0.3">
      <c r="B100" s="121"/>
      <c r="C100" s="41">
        <f>B73</f>
        <v>42736</v>
      </c>
      <c r="D100" s="58">
        <f>M1+(18*30.5)-1</f>
        <v>42228</v>
      </c>
      <c r="E100" s="59">
        <f>F100/30.5</f>
        <v>16.655737704918032</v>
      </c>
      <c r="F100" s="60">
        <f>C100-D100</f>
        <v>508</v>
      </c>
      <c r="G100" s="61"/>
      <c r="H100" s="61">
        <f>F100*5/3</f>
        <v>846.66666666666663</v>
      </c>
      <c r="I100" s="62">
        <f>INT(E100*5/3/12)</f>
        <v>2</v>
      </c>
      <c r="J100" s="63">
        <f>INT(E100*5/3-(I100*12))</f>
        <v>3</v>
      </c>
      <c r="K100" s="64">
        <f>ROUND((E100*5/3-(I100*12)-J100)*30,0)</f>
        <v>23</v>
      </c>
      <c r="L100" s="86">
        <f>C100-H100</f>
        <v>41889.333333333336</v>
      </c>
      <c r="M100" s="65"/>
      <c r="N100" s="66">
        <f>F100*8/3</f>
        <v>1354.6666666666667</v>
      </c>
      <c r="O100" s="62">
        <f>INT(E100*8/3/12)</f>
        <v>3</v>
      </c>
      <c r="P100" s="63">
        <f>INT(E100*8/3-(O100*12))</f>
        <v>8</v>
      </c>
      <c r="Q100" s="64">
        <f>ROUND((E100*8/3-(O100*12)-P100)*30,0)</f>
        <v>12</v>
      </c>
      <c r="R100" s="87">
        <f>C100-N100</f>
        <v>41381.333333333336</v>
      </c>
      <c r="S100" s="61"/>
      <c r="T100" s="61"/>
      <c r="U100" s="70"/>
      <c r="V100" s="70"/>
      <c r="W100" s="229"/>
      <c r="X100" s="67"/>
      <c r="Y100" s="67"/>
      <c r="Z100" s="66"/>
      <c r="AA100" s="70"/>
      <c r="AB100" s="70"/>
      <c r="AC100" s="73"/>
      <c r="AD100" s="67"/>
      <c r="AF100" s="101"/>
    </row>
    <row r="101" spans="2:32" customFormat="1" hidden="1" x14ac:dyDescent="0.25">
      <c r="G101" s="12"/>
      <c r="W101" s="121"/>
      <c r="AF101" s="101"/>
    </row>
    <row r="102" spans="2:32" customFormat="1" ht="15.75" hidden="1" thickBot="1" x14ac:dyDescent="0.3">
      <c r="G102" s="12"/>
      <c r="W102" s="121"/>
      <c r="AF102" s="101"/>
    </row>
    <row r="103" spans="2:32" customFormat="1" ht="27.75" hidden="1" customHeight="1" x14ac:dyDescent="0.25">
      <c r="G103" s="12"/>
      <c r="I103" s="384" t="s">
        <v>96</v>
      </c>
      <c r="J103" s="385"/>
      <c r="K103" s="385"/>
      <c r="L103" s="386"/>
      <c r="O103" s="384" t="s">
        <v>140</v>
      </c>
      <c r="P103" s="385"/>
      <c r="Q103" s="385"/>
      <c r="R103" s="386"/>
      <c r="W103" s="121"/>
      <c r="AF103" s="101"/>
    </row>
    <row r="104" spans="2:32" customFormat="1" ht="23.25" hidden="1" thickBot="1" x14ac:dyDescent="0.3">
      <c r="G104" s="12"/>
      <c r="I104" s="50" t="s">
        <v>81</v>
      </c>
      <c r="J104" s="51" t="s">
        <v>82</v>
      </c>
      <c r="K104" s="51" t="s">
        <v>83</v>
      </c>
      <c r="L104" s="55" t="s">
        <v>84</v>
      </c>
      <c r="O104" s="50" t="s">
        <v>81</v>
      </c>
      <c r="P104" s="51" t="s">
        <v>82</v>
      </c>
      <c r="Q104" s="51" t="s">
        <v>83</v>
      </c>
      <c r="R104" s="55" t="s">
        <v>84</v>
      </c>
      <c r="W104" s="121"/>
      <c r="AF104" s="101"/>
    </row>
    <row r="105" spans="2:32" customFormat="1" ht="6" hidden="1" customHeight="1" thickBot="1" x14ac:dyDescent="0.3">
      <c r="G105" s="12"/>
      <c r="W105" s="121"/>
      <c r="AF105" s="101"/>
    </row>
    <row r="106" spans="2:32" customFormat="1" ht="16.5" hidden="1" thickTop="1" thickBot="1" x14ac:dyDescent="0.3">
      <c r="B106" s="121"/>
      <c r="C106" s="41">
        <f>B73</f>
        <v>42736</v>
      </c>
      <c r="D106" s="58">
        <f>M1+(24*30.5)-1</f>
        <v>42411</v>
      </c>
      <c r="E106" s="59">
        <f>F106/30.5</f>
        <v>10.655737704918034</v>
      </c>
      <c r="F106" s="60">
        <f>C106-D106</f>
        <v>325</v>
      </c>
      <c r="G106" s="61"/>
      <c r="H106" s="61">
        <f>F106*5/4</f>
        <v>406.25</v>
      </c>
      <c r="I106" s="62">
        <f>INT(E106*5/4/12)</f>
        <v>1</v>
      </c>
      <c r="J106" s="63">
        <f>INT(E106*5/4-(I106*12))</f>
        <v>1</v>
      </c>
      <c r="K106" s="64">
        <f>ROUND((E106*5/4-(I106*12)-J106)*30,0)</f>
        <v>10</v>
      </c>
      <c r="L106" s="86">
        <f>C106-H106</f>
        <v>42329.75</v>
      </c>
      <c r="M106" s="61"/>
      <c r="N106" s="68">
        <f>F106</f>
        <v>325</v>
      </c>
      <c r="O106" s="62">
        <f>INT(K106/12)</f>
        <v>0</v>
      </c>
      <c r="P106" s="63">
        <f>INT(K106-(O106*12))</f>
        <v>10</v>
      </c>
      <c r="Q106" s="64">
        <f>ROUND((K106-(O106*12)-P106)*30,0)</f>
        <v>0</v>
      </c>
      <c r="R106" s="86">
        <f>C106-N106</f>
        <v>42411</v>
      </c>
      <c r="S106" s="61"/>
      <c r="T106" s="61"/>
      <c r="U106" s="70"/>
      <c r="V106" s="70"/>
      <c r="W106" s="229"/>
      <c r="X106" s="67"/>
      <c r="Y106" s="67"/>
      <c r="Z106" s="66"/>
      <c r="AA106" s="70"/>
      <c r="AB106" s="70"/>
      <c r="AC106" s="73"/>
      <c r="AD106" s="67"/>
      <c r="AF106" s="101"/>
    </row>
    <row r="107" spans="2:32" customFormat="1" hidden="1" x14ac:dyDescent="0.25">
      <c r="G107" s="12"/>
      <c r="W107" s="121"/>
      <c r="AF107" s="101"/>
    </row>
    <row r="108" spans="2:32" customFormat="1" ht="15.75" hidden="1" thickBot="1" x14ac:dyDescent="0.3">
      <c r="W108" s="121"/>
      <c r="AF108" s="101"/>
    </row>
    <row r="109" spans="2:32" customFormat="1" ht="27.75" hidden="1" customHeight="1" x14ac:dyDescent="0.25">
      <c r="G109" s="12"/>
      <c r="I109" s="384" t="s">
        <v>164</v>
      </c>
      <c r="J109" s="385"/>
      <c r="K109" s="385"/>
      <c r="L109" s="386"/>
      <c r="W109" s="121"/>
      <c r="AF109" s="101"/>
    </row>
    <row r="110" spans="2:32" customFormat="1" ht="23.25" hidden="1" thickBot="1" x14ac:dyDescent="0.3">
      <c r="G110" s="12"/>
      <c r="I110" s="50" t="s">
        <v>81</v>
      </c>
      <c r="J110" s="51" t="s">
        <v>82</v>
      </c>
      <c r="K110" s="51" t="s">
        <v>83</v>
      </c>
      <c r="L110" s="55" t="s">
        <v>84</v>
      </c>
      <c r="W110" s="121"/>
      <c r="AF110" s="101"/>
    </row>
    <row r="111" spans="2:32" customFormat="1" ht="15.75" hidden="1" thickBot="1" x14ac:dyDescent="0.3">
      <c r="G111" s="12"/>
      <c r="W111" s="121"/>
      <c r="AF111" s="101"/>
    </row>
    <row r="112" spans="2:32" customFormat="1" ht="16.5" hidden="1" thickTop="1" thickBot="1" x14ac:dyDescent="0.3">
      <c r="C112" s="41">
        <f>B73</f>
        <v>42736</v>
      </c>
      <c r="D112" s="58">
        <f>M1+(36*30.5)-1</f>
        <v>42777</v>
      </c>
      <c r="E112" s="59">
        <f>F112/30.5</f>
        <v>-1.3442622950819672</v>
      </c>
      <c r="F112" s="60">
        <f>C112-D112</f>
        <v>-41</v>
      </c>
      <c r="G112" s="61"/>
      <c r="H112" s="61">
        <f>F112*3</f>
        <v>-123</v>
      </c>
      <c r="I112" s="62">
        <f>INT(E112*5/4/12)</f>
        <v>-1</v>
      </c>
      <c r="J112" s="63">
        <f>INT(E112*5/4-(I112*12))</f>
        <v>10</v>
      </c>
      <c r="K112" s="64">
        <f>ROUND((E112*5/4-(I112*12)-J112)*30,0)</f>
        <v>10</v>
      </c>
      <c r="L112" s="86">
        <f>C112-H112</f>
        <v>42859</v>
      </c>
      <c r="W112" s="121"/>
      <c r="AF112" s="101"/>
    </row>
    <row r="113" spans="3:32" customFormat="1" hidden="1" x14ac:dyDescent="0.25">
      <c r="W113" s="121"/>
      <c r="AF113" s="101"/>
    </row>
    <row r="114" spans="3:32" hidden="1" x14ac:dyDescent="0.25">
      <c r="C114" s="36"/>
      <c r="D114" s="36"/>
      <c r="E114" s="36"/>
      <c r="F114" s="36"/>
      <c r="G114" s="36"/>
      <c r="H114" s="36"/>
      <c r="I114" s="36"/>
      <c r="J114" s="36"/>
      <c r="L114" s="193"/>
      <c r="M114" s="36"/>
      <c r="O114" s="36"/>
      <c r="Q114" s="36"/>
      <c r="T114" s="36"/>
    </row>
  </sheetData>
  <sheetProtection password="EB30" sheet="1" objects="1" scenarios="1" selectLockedCells="1"/>
  <mergeCells count="34">
    <mergeCell ref="E10:F10"/>
    <mergeCell ref="H9:M9"/>
    <mergeCell ref="B8:G8"/>
    <mergeCell ref="B3:C3"/>
    <mergeCell ref="B5:C5"/>
    <mergeCell ref="B73:C73"/>
    <mergeCell ref="D73:E73"/>
    <mergeCell ref="I73:L73"/>
    <mergeCell ref="O73:R73"/>
    <mergeCell ref="U73:X73"/>
    <mergeCell ref="AA73:AD73"/>
    <mergeCell ref="AG73:AJ73"/>
    <mergeCell ref="AM73:AP73"/>
    <mergeCell ref="I79:L79"/>
    <mergeCell ref="O79:R79"/>
    <mergeCell ref="U79:X79"/>
    <mergeCell ref="AA79:AD79"/>
    <mergeCell ref="AG79:AJ79"/>
    <mergeCell ref="U85:X85"/>
    <mergeCell ref="I91:L91"/>
    <mergeCell ref="I97:L97"/>
    <mergeCell ref="O97:R97"/>
    <mergeCell ref="L10:M10"/>
    <mergeCell ref="P8:P11"/>
    <mergeCell ref="M1:Q1"/>
    <mergeCell ref="I103:L103"/>
    <mergeCell ref="O103:R103"/>
    <mergeCell ref="I109:L109"/>
    <mergeCell ref="I85:L85"/>
    <mergeCell ref="O85:R85"/>
    <mergeCell ref="I1:L1"/>
    <mergeCell ref="J3:K3"/>
    <mergeCell ref="Q3:R3"/>
    <mergeCell ref="J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31"/>
  <sheetViews>
    <sheetView showGridLines="0" zoomScale="80" zoomScaleNormal="80" workbookViewId="0">
      <selection activeCell="L1" sqref="L1:P1"/>
    </sheetView>
  </sheetViews>
  <sheetFormatPr baseColWidth="10" defaultRowHeight="15" x14ac:dyDescent="0.25"/>
  <cols>
    <col min="1" max="14" width="11.42578125" style="36"/>
    <col min="15" max="15" width="5.85546875" style="36" customWidth="1"/>
    <col min="16" max="16" width="17.85546875" style="36" customWidth="1"/>
    <col min="17" max="19" width="11.42578125" style="36"/>
    <col min="20" max="20" width="3.7109375" style="36" customWidth="1"/>
    <col min="21" max="21" width="25" style="36" customWidth="1"/>
    <col min="22" max="16384" width="11.42578125" style="36"/>
  </cols>
  <sheetData>
    <row r="1" spans="1:16" ht="27" thickBot="1" x14ac:dyDescent="0.3">
      <c r="B1" s="36" t="s">
        <v>134</v>
      </c>
      <c r="D1" s="36" t="s">
        <v>135</v>
      </c>
      <c r="H1" s="348" t="s">
        <v>165</v>
      </c>
      <c r="I1" s="349"/>
      <c r="J1" s="349"/>
      <c r="K1" s="361"/>
      <c r="L1" s="362">
        <v>41680</v>
      </c>
      <c r="M1" s="363"/>
      <c r="N1" s="363"/>
      <c r="O1" s="363"/>
      <c r="P1" s="363"/>
    </row>
    <row r="3" spans="1:16" ht="23.25" x14ac:dyDescent="0.35">
      <c r="A3" s="124"/>
      <c r="B3" s="124"/>
      <c r="C3" s="124"/>
      <c r="D3" s="124"/>
      <c r="E3" s="431">
        <v>42370</v>
      </c>
      <c r="F3" s="432"/>
      <c r="G3" s="124"/>
      <c r="H3" s="124"/>
      <c r="I3" s="124"/>
      <c r="J3" s="124"/>
      <c r="K3" s="124"/>
      <c r="L3" s="431">
        <v>42736</v>
      </c>
      <c r="M3" s="432"/>
      <c r="N3" s="124"/>
    </row>
    <row r="4" spans="1:16" x14ac:dyDescent="0.25">
      <c r="B4" s="125" t="s">
        <v>136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6" x14ac:dyDescent="0.25">
      <c r="A5" s="141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</row>
    <row r="6" spans="1:16" s="69" customFormat="1" x14ac:dyDescent="0.25">
      <c r="A6" s="132"/>
      <c r="B6" s="140"/>
      <c r="C6" s="131" t="s">
        <v>37</v>
      </c>
      <c r="D6" s="131" t="s">
        <v>38</v>
      </c>
      <c r="E6" s="131" t="s">
        <v>39</v>
      </c>
      <c r="F6" s="131" t="s">
        <v>40</v>
      </c>
      <c r="G6" s="131" t="s">
        <v>39</v>
      </c>
      <c r="H6" s="131"/>
      <c r="I6" s="140"/>
      <c r="J6" s="131" t="s">
        <v>37</v>
      </c>
      <c r="K6" s="131" t="s">
        <v>38</v>
      </c>
      <c r="L6" s="131" t="s">
        <v>39</v>
      </c>
      <c r="M6" s="131" t="s">
        <v>40</v>
      </c>
      <c r="N6" s="131" t="s">
        <v>39</v>
      </c>
    </row>
    <row r="7" spans="1:16" s="69" customFormat="1" x14ac:dyDescent="0.25">
      <c r="A7" s="132"/>
      <c r="B7" s="140"/>
      <c r="C7" s="132"/>
      <c r="D7" s="132"/>
      <c r="E7" s="131" t="s">
        <v>41</v>
      </c>
      <c r="F7" s="131" t="s">
        <v>42</v>
      </c>
      <c r="G7" s="131" t="s">
        <v>43</v>
      </c>
      <c r="H7" s="131"/>
      <c r="I7" s="140"/>
      <c r="J7" s="132"/>
      <c r="K7" s="132"/>
      <c r="L7" s="131" t="s">
        <v>41</v>
      </c>
      <c r="M7" s="131" t="s">
        <v>42</v>
      </c>
      <c r="N7" s="131" t="s">
        <v>43</v>
      </c>
    </row>
    <row r="8" spans="1:16" x14ac:dyDescent="0.25">
      <c r="A8" s="125"/>
      <c r="B8" s="124"/>
      <c r="C8" s="127">
        <v>1</v>
      </c>
      <c r="D8" s="127" t="s">
        <v>44</v>
      </c>
      <c r="E8" s="127">
        <f>LOOKUP(G8,'IB-IM et VP'!A:A,'IB-IM et VP'!C:C)</f>
        <v>384</v>
      </c>
      <c r="F8" s="128">
        <f>E8*'IB-IM et VP'!P3</f>
        <v>1788.7007999999996</v>
      </c>
      <c r="G8" s="127">
        <v>435</v>
      </c>
      <c r="H8" s="126"/>
      <c r="I8" s="124"/>
      <c r="J8" s="127">
        <v>1</v>
      </c>
      <c r="K8" s="127" t="s">
        <v>44</v>
      </c>
      <c r="L8" s="127">
        <f>LOOKUP(N8,'IB-IM et VP'!A:A,'IB-IM et VP'!C:C)</f>
        <v>392</v>
      </c>
      <c r="M8" s="128">
        <f>L8*'IB-IM et VP'!P3</f>
        <v>1825.9653999999998</v>
      </c>
      <c r="N8" s="127">
        <v>446</v>
      </c>
    </row>
    <row r="9" spans="1:16" x14ac:dyDescent="0.25">
      <c r="A9" s="125"/>
      <c r="B9" s="124"/>
      <c r="C9" s="127">
        <v>2</v>
      </c>
      <c r="D9" s="127" t="s">
        <v>45</v>
      </c>
      <c r="E9" s="127">
        <f>LOOKUP(G9,'IB-IM et VP'!A:A,'IB-IM et VP'!C:C)</f>
        <v>420</v>
      </c>
      <c r="F9" s="128">
        <f>E9*'IB-IM et VP'!P4</f>
        <v>1956.3914999999997</v>
      </c>
      <c r="G9" s="127">
        <v>485</v>
      </c>
      <c r="H9" s="126"/>
      <c r="I9" s="124"/>
      <c r="J9" s="127">
        <v>2</v>
      </c>
      <c r="K9" s="127" t="s">
        <v>45</v>
      </c>
      <c r="L9" s="127">
        <f>LOOKUP(N9,'IB-IM et VP'!A:A,'IB-IM et VP'!C:C)</f>
        <v>428</v>
      </c>
      <c r="M9" s="128">
        <f>L9*'IB-IM et VP'!P4</f>
        <v>1993.6560999999997</v>
      </c>
      <c r="N9" s="127">
        <v>496</v>
      </c>
    </row>
    <row r="10" spans="1:16" x14ac:dyDescent="0.25">
      <c r="A10" s="125"/>
      <c r="B10" s="124"/>
      <c r="C10" s="127">
        <v>3</v>
      </c>
      <c r="D10" s="127" t="s">
        <v>45</v>
      </c>
      <c r="E10" s="127">
        <f>LOOKUP(G10,'IB-IM et VP'!A:A,'IB-IM et VP'!C:C)</f>
        <v>450</v>
      </c>
      <c r="F10" s="128">
        <f>E10*'IB-IM et VP'!P5</f>
        <v>2096.1337499999995</v>
      </c>
      <c r="G10" s="127">
        <v>525</v>
      </c>
      <c r="H10" s="126"/>
      <c r="I10" s="124"/>
      <c r="J10" s="127">
        <v>3</v>
      </c>
      <c r="K10" s="127" t="s">
        <v>45</v>
      </c>
      <c r="L10" s="127">
        <f>LOOKUP(N10,'IB-IM et VP'!A:A,'IB-IM et VP'!C:C)</f>
        <v>458</v>
      </c>
      <c r="M10" s="128">
        <f>L10*'IB-IM et VP'!P5</f>
        <v>2133.3983499999995</v>
      </c>
      <c r="N10" s="127">
        <v>539</v>
      </c>
    </row>
    <row r="11" spans="1:16" x14ac:dyDescent="0.25">
      <c r="A11" s="125"/>
      <c r="B11" s="124"/>
      <c r="C11" s="127">
        <v>4</v>
      </c>
      <c r="D11" s="127" t="s">
        <v>46</v>
      </c>
      <c r="E11" s="127">
        <f>LOOKUP(G11,'IB-IM et VP'!A:A,'IB-IM et VP'!C:C)</f>
        <v>477</v>
      </c>
      <c r="F11" s="128">
        <f>E11*'IB-IM et VP'!P6</f>
        <v>2221.9017749999998</v>
      </c>
      <c r="G11" s="127">
        <v>563</v>
      </c>
      <c r="H11" s="126"/>
      <c r="I11" s="124"/>
      <c r="J11" s="127">
        <v>4</v>
      </c>
      <c r="K11" s="127" t="s">
        <v>46</v>
      </c>
      <c r="L11" s="127">
        <f>LOOKUP(N11,'IB-IM et VP'!A:A,'IB-IM et VP'!C:C)</f>
        <v>485</v>
      </c>
      <c r="M11" s="128">
        <f>L11*'IB-IM et VP'!P6</f>
        <v>2259.1663749999998</v>
      </c>
      <c r="N11" s="127">
        <v>574</v>
      </c>
    </row>
    <row r="12" spans="1:16" x14ac:dyDescent="0.25">
      <c r="A12" s="125"/>
      <c r="B12" s="124"/>
      <c r="C12" s="127">
        <v>5</v>
      </c>
      <c r="D12" s="127" t="s">
        <v>46</v>
      </c>
      <c r="E12" s="127">
        <f>LOOKUP(G12,'IB-IM et VP'!A:A,'IB-IM et VP'!C:C)</f>
        <v>501</v>
      </c>
      <c r="F12" s="128">
        <f>E12*'IB-IM et VP'!P7</f>
        <v>2333.6955749999997</v>
      </c>
      <c r="G12" s="127">
        <v>594</v>
      </c>
      <c r="H12" s="126"/>
      <c r="I12" s="124"/>
      <c r="J12" s="127">
        <v>5</v>
      </c>
      <c r="K12" s="127" t="s">
        <v>46</v>
      </c>
      <c r="L12" s="127">
        <f>LOOKUP(N12,'IB-IM et VP'!A:A,'IB-IM et VP'!C:C)</f>
        <v>509</v>
      </c>
      <c r="M12" s="128">
        <f>L12*'IB-IM et VP'!P7</f>
        <v>2370.9601749999997</v>
      </c>
      <c r="N12" s="127">
        <v>605</v>
      </c>
    </row>
    <row r="13" spans="1:16" x14ac:dyDescent="0.25">
      <c r="A13" s="125"/>
      <c r="B13" s="124"/>
      <c r="C13" s="127">
        <v>6</v>
      </c>
      <c r="D13" s="127" t="s">
        <v>47</v>
      </c>
      <c r="E13" s="127">
        <f>LOOKUP(G13,'IB-IM et VP'!A:A,'IB-IM et VP'!C:C)</f>
        <v>530</v>
      </c>
      <c r="F13" s="128">
        <f>E13*'IB-IM et VP'!P8</f>
        <v>2468.7797499999997</v>
      </c>
      <c r="G13" s="127">
        <v>632</v>
      </c>
      <c r="H13" s="126"/>
      <c r="I13" s="124"/>
      <c r="J13" s="127">
        <v>6</v>
      </c>
      <c r="K13" s="127" t="s">
        <v>47</v>
      </c>
      <c r="L13" s="127">
        <f>LOOKUP(N13,'IB-IM et VP'!A:A,'IB-IM et VP'!C:C)</f>
        <v>538</v>
      </c>
      <c r="M13" s="128">
        <f>L13*'IB-IM et VP'!P8</f>
        <v>2506.0443499999997</v>
      </c>
      <c r="N13" s="127">
        <v>643</v>
      </c>
    </row>
    <row r="14" spans="1:16" x14ac:dyDescent="0.25">
      <c r="A14" s="125"/>
      <c r="B14" s="124"/>
      <c r="C14" s="127">
        <v>7</v>
      </c>
      <c r="D14" s="127" t="s">
        <v>47</v>
      </c>
      <c r="E14" s="127">
        <f>LOOKUP(G14,'IB-IM et VP'!A:A,'IB-IM et VP'!C:C)</f>
        <v>558</v>
      </c>
      <c r="F14" s="128">
        <f>E14*'IB-IM et VP'!P9</f>
        <v>2599.2058499999998</v>
      </c>
      <c r="G14" s="127">
        <v>669</v>
      </c>
      <c r="H14" s="126"/>
      <c r="I14" s="124"/>
      <c r="J14" s="127">
        <v>7</v>
      </c>
      <c r="K14" s="127" t="s">
        <v>47</v>
      </c>
      <c r="L14" s="127">
        <f>LOOKUP(N14,'IB-IM et VP'!A:A,'IB-IM et VP'!C:C)</f>
        <v>566</v>
      </c>
      <c r="M14" s="128">
        <f>L14*'IB-IM et VP'!P9</f>
        <v>2636.4704499999998</v>
      </c>
      <c r="N14" s="127">
        <v>680</v>
      </c>
    </row>
    <row r="15" spans="1:16" x14ac:dyDescent="0.25">
      <c r="A15" s="125"/>
      <c r="B15" s="124"/>
      <c r="C15" s="127">
        <v>8</v>
      </c>
      <c r="D15" s="139"/>
      <c r="E15" s="127">
        <f>LOOKUP(G15,'IB-IM et VP'!A:A,'IB-IM et VP'!C:C)</f>
        <v>615</v>
      </c>
      <c r="F15" s="128">
        <f>E15*'IB-IM et VP'!P10</f>
        <v>2864.7161249999995</v>
      </c>
      <c r="G15" s="127">
        <v>744</v>
      </c>
      <c r="H15" s="126"/>
      <c r="I15" s="124"/>
      <c r="J15" s="127">
        <v>8</v>
      </c>
      <c r="K15" s="139"/>
      <c r="L15" s="127">
        <f>LOOKUP(N15,'IB-IM et VP'!A:A,'IB-IM et VP'!C:C)</f>
        <v>623</v>
      </c>
      <c r="M15" s="128">
        <f>L15*'IB-IM et VP'!P10</f>
        <v>2901.9807249999994</v>
      </c>
      <c r="N15" s="127">
        <v>755</v>
      </c>
    </row>
    <row r="16" spans="1:16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spans="1:16" ht="15.75" thickBot="1" x14ac:dyDescent="0.3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</row>
    <row r="18" spans="1:16" ht="29.25" thickBot="1" x14ac:dyDescent="0.3">
      <c r="A18" s="124"/>
      <c r="B18" s="124"/>
      <c r="C18" s="352" t="s">
        <v>210</v>
      </c>
      <c r="D18" s="353"/>
      <c r="E18" s="353"/>
      <c r="F18" s="353"/>
      <c r="G18" s="354"/>
      <c r="H18" s="124"/>
      <c r="I18" s="124"/>
      <c r="J18" s="124"/>
      <c r="K18" s="124"/>
      <c r="L18" s="124"/>
      <c r="M18" s="124"/>
      <c r="N18" s="124"/>
      <c r="P18" s="358" t="s">
        <v>166</v>
      </c>
    </row>
    <row r="19" spans="1:16" ht="26.25" x14ac:dyDescent="0.25">
      <c r="B19" s="125" t="s">
        <v>137</v>
      </c>
      <c r="C19" s="125"/>
      <c r="D19" s="124"/>
      <c r="E19" s="124"/>
      <c r="F19" s="124"/>
      <c r="G19" s="69"/>
      <c r="H19" s="357" t="s">
        <v>173</v>
      </c>
      <c r="I19" s="357"/>
      <c r="J19" s="357"/>
      <c r="K19" s="357"/>
      <c r="L19" s="357"/>
      <c r="M19" s="357"/>
      <c r="N19" s="124"/>
      <c r="P19" s="359"/>
    </row>
    <row r="20" spans="1:16" x14ac:dyDescent="0.25">
      <c r="A20" s="124"/>
      <c r="B20" s="124"/>
      <c r="C20" s="124"/>
      <c r="D20" s="124"/>
      <c r="E20" s="124"/>
      <c r="F20" s="124"/>
      <c r="G20" s="124"/>
      <c r="H20" s="233"/>
      <c r="I20" s="124"/>
      <c r="J20" s="124"/>
      <c r="K20" s="124"/>
      <c r="L20" s="124"/>
      <c r="M20" s="124"/>
      <c r="N20" s="124"/>
      <c r="P20" s="359"/>
    </row>
    <row r="21" spans="1:16" s="69" customFormat="1" ht="15.75" thickBot="1" x14ac:dyDescent="0.3">
      <c r="A21" s="140"/>
      <c r="B21" s="140"/>
      <c r="C21" s="131" t="s">
        <v>37</v>
      </c>
      <c r="D21" s="131" t="s">
        <v>38</v>
      </c>
      <c r="E21" s="131" t="s">
        <v>39</v>
      </c>
      <c r="F21" s="131" t="s">
        <v>40</v>
      </c>
      <c r="G21" s="131" t="s">
        <v>39</v>
      </c>
      <c r="H21" s="234"/>
      <c r="I21" s="140"/>
      <c r="J21" s="131" t="s">
        <v>37</v>
      </c>
      <c r="K21" s="131" t="s">
        <v>38</v>
      </c>
      <c r="L21" s="131" t="s">
        <v>39</v>
      </c>
      <c r="M21" s="131" t="s">
        <v>40</v>
      </c>
      <c r="N21" s="131" t="s">
        <v>39</v>
      </c>
      <c r="P21" s="360"/>
    </row>
    <row r="22" spans="1:16" s="69" customFormat="1" x14ac:dyDescent="0.25">
      <c r="A22" s="140"/>
      <c r="B22" s="140"/>
      <c r="C22" s="132"/>
      <c r="D22" s="132"/>
      <c r="E22" s="131" t="s">
        <v>41</v>
      </c>
      <c r="F22" s="131" t="s">
        <v>42</v>
      </c>
      <c r="G22" s="131" t="s">
        <v>43</v>
      </c>
      <c r="H22" s="234"/>
      <c r="I22" s="140"/>
      <c r="J22" s="132"/>
      <c r="K22" s="132"/>
      <c r="L22" s="131" t="s">
        <v>41</v>
      </c>
      <c r="M22" s="131" t="s">
        <v>42</v>
      </c>
      <c r="N22" s="131" t="s">
        <v>43</v>
      </c>
    </row>
    <row r="23" spans="1:16" ht="21" x14ac:dyDescent="0.35">
      <c r="A23" s="124"/>
      <c r="B23" s="124"/>
      <c r="C23" s="124"/>
      <c r="D23" s="124"/>
      <c r="E23" s="124"/>
      <c r="F23" s="124"/>
      <c r="G23" s="124"/>
      <c r="H23" s="233"/>
      <c r="I23" s="124"/>
      <c r="J23" s="196">
        <v>1</v>
      </c>
      <c r="K23" s="127" t="s">
        <v>44</v>
      </c>
      <c r="L23" s="127">
        <f>LOOKUP(N23,'IB-IM et VP'!A:A,'IB-IM et VP'!C:C)</f>
        <v>524</v>
      </c>
      <c r="M23" s="128">
        <f>L23*'IB-IM et VP'!P19</f>
        <v>2440.8312999999998</v>
      </c>
      <c r="N23" s="127">
        <v>625</v>
      </c>
    </row>
    <row r="24" spans="1:16" ht="21" x14ac:dyDescent="0.35">
      <c r="A24" s="124"/>
      <c r="B24" s="124"/>
      <c r="C24" s="196">
        <v>1</v>
      </c>
      <c r="D24" s="127" t="s">
        <v>45</v>
      </c>
      <c r="E24" s="127">
        <f>LOOKUP(G24,'IB-IM et VP'!A:A,'IB-IM et VP'!C:C)</f>
        <v>528</v>
      </c>
      <c r="F24" s="128">
        <f>E24*'IB-IM et VP'!P20</f>
        <v>2459.4635999999996</v>
      </c>
      <c r="G24" s="127">
        <v>630</v>
      </c>
      <c r="H24" s="230" t="s">
        <v>56</v>
      </c>
      <c r="I24" s="124"/>
      <c r="J24" s="196">
        <v>2</v>
      </c>
      <c r="K24" s="127" t="s">
        <v>45</v>
      </c>
      <c r="L24" s="127">
        <f>LOOKUP(N24,'IB-IM et VP'!A:A,'IB-IM et VP'!C:C)</f>
        <v>535</v>
      </c>
      <c r="M24" s="128">
        <f>L24*'IB-IM et VP'!P20</f>
        <v>2492.0701249999997</v>
      </c>
      <c r="N24" s="127">
        <v>639</v>
      </c>
      <c r="P24" s="198">
        <f>L1</f>
        <v>41680</v>
      </c>
    </row>
    <row r="25" spans="1:16" ht="21" x14ac:dyDescent="0.35">
      <c r="A25" s="124"/>
      <c r="B25" s="124"/>
      <c r="C25" s="196">
        <v>2</v>
      </c>
      <c r="D25" s="127" t="s">
        <v>46</v>
      </c>
      <c r="E25" s="127">
        <f>LOOKUP(G25,'IB-IM et VP'!A:A,'IB-IM et VP'!C:C)</f>
        <v>548</v>
      </c>
      <c r="F25" s="128">
        <f>E25*'IB-IM et VP'!P21</f>
        <v>2552.6250999999997</v>
      </c>
      <c r="G25" s="127">
        <v>657</v>
      </c>
      <c r="H25" s="230" t="s">
        <v>56</v>
      </c>
      <c r="I25" s="124"/>
      <c r="J25" s="196">
        <v>3</v>
      </c>
      <c r="K25" s="127" t="s">
        <v>46</v>
      </c>
      <c r="L25" s="127">
        <f>LOOKUP(N25,'IB-IM et VP'!A:A,'IB-IM et VP'!C:C)</f>
        <v>558</v>
      </c>
      <c r="M25" s="128">
        <f>L25*'IB-IM et VP'!P21</f>
        <v>2599.2058499999998</v>
      </c>
      <c r="N25" s="127">
        <v>669</v>
      </c>
      <c r="O25" s="105"/>
      <c r="P25" s="195">
        <f>L1</f>
        <v>41680</v>
      </c>
    </row>
    <row r="26" spans="1:16" ht="21" x14ac:dyDescent="0.35">
      <c r="A26" s="124"/>
      <c r="B26" s="124"/>
      <c r="C26" s="196">
        <v>3</v>
      </c>
      <c r="D26" s="127" t="s">
        <v>46</v>
      </c>
      <c r="E26" s="127">
        <f>LOOKUP(G26,'IB-IM et VP'!A:A,'IB-IM et VP'!C:C)</f>
        <v>570</v>
      </c>
      <c r="F26" s="128">
        <f>E26*'IB-IM et VP'!P22</f>
        <v>2655.1027499999996</v>
      </c>
      <c r="G26" s="127">
        <v>685</v>
      </c>
      <c r="H26" s="230" t="s">
        <v>56</v>
      </c>
      <c r="I26" s="124"/>
      <c r="J26" s="196">
        <v>4</v>
      </c>
      <c r="K26" s="127" t="s">
        <v>46</v>
      </c>
      <c r="L26" s="127">
        <f>LOOKUP(N26,'IB-IM et VP'!A:A,'IB-IM et VP'!C:C)</f>
        <v>580</v>
      </c>
      <c r="M26" s="128">
        <f>L26*'IB-IM et VP'!P22</f>
        <v>2701.6834999999996</v>
      </c>
      <c r="N26" s="127">
        <v>699</v>
      </c>
      <c r="P26" s="198">
        <f>L1</f>
        <v>41680</v>
      </c>
    </row>
    <row r="27" spans="1:16" ht="21" x14ac:dyDescent="0.35">
      <c r="A27" s="124"/>
      <c r="B27" s="124"/>
      <c r="C27" s="196">
        <v>4</v>
      </c>
      <c r="D27" s="127" t="s">
        <v>46</v>
      </c>
      <c r="E27" s="127">
        <f>LOOKUP(G27,'IB-IM et VP'!A:A,'IB-IM et VP'!C:C)</f>
        <v>585</v>
      </c>
      <c r="F27" s="128">
        <f>E27*'IB-IM et VP'!P23</f>
        <v>2724.9738749999997</v>
      </c>
      <c r="G27" s="127">
        <v>705</v>
      </c>
      <c r="H27" s="230" t="s">
        <v>56</v>
      </c>
      <c r="I27" s="124"/>
      <c r="J27" s="196">
        <v>5</v>
      </c>
      <c r="K27" s="127" t="s">
        <v>46</v>
      </c>
      <c r="L27" s="127">
        <f>LOOKUP(N27,'IB-IM et VP'!A:A,'IB-IM et VP'!C:C)</f>
        <v>594</v>
      </c>
      <c r="M27" s="128">
        <f>L27*'IB-IM et VP'!P23</f>
        <v>2766.8965499999995</v>
      </c>
      <c r="N27" s="127">
        <v>717</v>
      </c>
      <c r="O27" s="105"/>
      <c r="P27" s="195">
        <f>L1</f>
        <v>41680</v>
      </c>
    </row>
    <row r="28" spans="1:16" ht="21" x14ac:dyDescent="0.35">
      <c r="A28" s="124"/>
      <c r="B28" s="124"/>
      <c r="C28" s="196">
        <v>5</v>
      </c>
      <c r="D28" s="127" t="s">
        <v>46</v>
      </c>
      <c r="E28" s="127">
        <f>LOOKUP(G28,'IB-IM et VP'!A:A,'IB-IM et VP'!C:C)</f>
        <v>625</v>
      </c>
      <c r="F28" s="128">
        <f>E28*'IB-IM et VP'!P24</f>
        <v>2911.2968749999995</v>
      </c>
      <c r="G28" s="127">
        <v>758</v>
      </c>
      <c r="H28" s="230" t="s">
        <v>56</v>
      </c>
      <c r="I28" s="124"/>
      <c r="J28" s="196">
        <v>6</v>
      </c>
      <c r="K28" s="127" t="s">
        <v>46</v>
      </c>
      <c r="L28" s="127">
        <f>LOOKUP(N28,'IB-IM et VP'!A:A,'IB-IM et VP'!C:C)</f>
        <v>632</v>
      </c>
      <c r="M28" s="128">
        <f>L28*'IB-IM et VP'!P24</f>
        <v>2943.9033999999997</v>
      </c>
      <c r="N28" s="127">
        <v>767</v>
      </c>
      <c r="P28" s="198">
        <f>L1</f>
        <v>41680</v>
      </c>
    </row>
    <row r="29" spans="1:16" ht="21" x14ac:dyDescent="0.35">
      <c r="A29" s="124"/>
      <c r="B29" s="124"/>
      <c r="C29" s="196">
        <v>6</v>
      </c>
      <c r="D29" s="127" t="s">
        <v>46</v>
      </c>
      <c r="E29" s="127">
        <f>LOOKUP(G29,'IB-IM et VP'!A:A,'IB-IM et VP'!C:C)</f>
        <v>646</v>
      </c>
      <c r="F29" s="128">
        <f>E29*'IB-IM et VP'!P25</f>
        <v>3009.1164499999995</v>
      </c>
      <c r="G29" s="127">
        <v>785</v>
      </c>
      <c r="H29" s="230" t="s">
        <v>56</v>
      </c>
      <c r="I29" s="124"/>
      <c r="J29" s="196">
        <v>7</v>
      </c>
      <c r="K29" s="127" t="s">
        <v>46</v>
      </c>
      <c r="L29" s="127">
        <f>LOOKUP(N29,'IB-IM et VP'!A:A,'IB-IM et VP'!C:C)</f>
        <v>653</v>
      </c>
      <c r="M29" s="128">
        <f>L29*'IB-IM et VP'!P25</f>
        <v>3041.7229749999997</v>
      </c>
      <c r="N29" s="127">
        <v>794</v>
      </c>
      <c r="O29" s="105"/>
      <c r="P29" s="195">
        <f>L1</f>
        <v>41680</v>
      </c>
    </row>
    <row r="30" spans="1:16" ht="21" x14ac:dyDescent="0.35">
      <c r="A30" s="124"/>
      <c r="B30" s="124"/>
      <c r="C30" s="196">
        <v>7</v>
      </c>
      <c r="D30" s="130"/>
      <c r="E30" s="127">
        <f>LOOKUP(G30,'IB-IM et VP'!A:A,'IB-IM et VP'!C:C)</f>
        <v>662</v>
      </c>
      <c r="F30" s="128">
        <f>E30*'IB-IM et VP'!P26</f>
        <v>3083.6456499999995</v>
      </c>
      <c r="G30" s="127">
        <v>807</v>
      </c>
      <c r="H30" s="230" t="s">
        <v>56</v>
      </c>
      <c r="I30" s="124"/>
      <c r="J30" s="196">
        <v>8</v>
      </c>
      <c r="K30" s="127"/>
      <c r="L30" s="127">
        <f>LOOKUP(N30,'IB-IM et VP'!A:A,'IB-IM et VP'!C:C)</f>
        <v>668</v>
      </c>
      <c r="M30" s="128">
        <f>L30*'IB-IM et VP'!P26</f>
        <v>3111.5940999999993</v>
      </c>
      <c r="N30" s="127">
        <v>815</v>
      </c>
      <c r="O30" s="105"/>
      <c r="P30" s="195">
        <f>L1</f>
        <v>41680</v>
      </c>
    </row>
    <row r="31" spans="1:16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</row>
  </sheetData>
  <sheetProtection password="EB30" sheet="1" objects="1" scenarios="1" selectLockedCells="1"/>
  <mergeCells count="7">
    <mergeCell ref="P18:P21"/>
    <mergeCell ref="E3:F3"/>
    <mergeCell ref="L3:M3"/>
    <mergeCell ref="H19:M19"/>
    <mergeCell ref="H1:K1"/>
    <mergeCell ref="L1:P1"/>
    <mergeCell ref="C18:G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87"/>
  <sheetViews>
    <sheetView showGridLines="0" zoomScale="80" zoomScaleNormal="80" workbookViewId="0">
      <selection activeCell="L1" sqref="L1:P1"/>
    </sheetView>
  </sheetViews>
  <sheetFormatPr baseColWidth="10" defaultRowHeight="15" x14ac:dyDescent="0.25"/>
  <cols>
    <col min="1" max="2" width="11.42578125" style="36"/>
    <col min="3" max="3" width="16.42578125" style="36" customWidth="1"/>
    <col min="4" max="9" width="11.42578125" style="36"/>
    <col min="10" max="10" width="15.42578125" style="36" customWidth="1"/>
    <col min="11" max="11" width="11.42578125" style="295"/>
    <col min="12" max="13" width="11.42578125" style="36"/>
    <col min="14" max="14" width="5.28515625" style="36" customWidth="1"/>
    <col min="15" max="15" width="19.5703125" style="36" customWidth="1"/>
    <col min="16" max="17" width="11.42578125" style="36"/>
    <col min="18" max="18" width="3.7109375" style="36" customWidth="1"/>
    <col min="19" max="19" width="19" style="36" customWidth="1"/>
    <col min="20" max="16384" width="11.42578125" style="36"/>
  </cols>
  <sheetData>
    <row r="1" spans="2:16" ht="27" thickBot="1" x14ac:dyDescent="0.4">
      <c r="B1" s="441" t="s">
        <v>230</v>
      </c>
      <c r="C1" s="441"/>
      <c r="D1" s="441"/>
      <c r="E1" s="441"/>
      <c r="F1" s="271"/>
      <c r="H1" s="348" t="s">
        <v>165</v>
      </c>
      <c r="I1" s="349"/>
      <c r="J1" s="349"/>
      <c r="K1" s="361"/>
      <c r="L1" s="362">
        <v>41680</v>
      </c>
      <c r="M1" s="363"/>
      <c r="N1" s="363"/>
      <c r="O1" s="363"/>
      <c r="P1" s="363"/>
    </row>
    <row r="2" spans="2:16" ht="15.75" thickBot="1" x14ac:dyDescent="0.3">
      <c r="E2" s="35"/>
      <c r="I2" s="85"/>
    </row>
    <row r="3" spans="2:16" ht="29.25" thickBot="1" x14ac:dyDescent="0.3">
      <c r="B3" s="438" t="s">
        <v>231</v>
      </c>
      <c r="C3" s="439"/>
      <c r="D3" s="439"/>
      <c r="E3" s="439"/>
      <c r="F3" s="440"/>
      <c r="I3" s="85"/>
    </row>
    <row r="4" spans="2:16" ht="26.25" x14ac:dyDescent="0.25">
      <c r="B4" s="85"/>
      <c r="E4" s="85"/>
      <c r="F4" s="69"/>
      <c r="G4" s="357" t="s">
        <v>173</v>
      </c>
      <c r="H4" s="357"/>
      <c r="I4" s="357"/>
      <c r="J4" s="357"/>
      <c r="K4" s="357"/>
      <c r="L4" s="357"/>
      <c r="O4" s="358" t="s">
        <v>166</v>
      </c>
    </row>
    <row r="5" spans="2:16" x14ac:dyDescent="0.25">
      <c r="B5" s="85"/>
      <c r="E5" s="85"/>
      <c r="G5" s="92"/>
      <c r="K5" s="36"/>
      <c r="O5" s="359"/>
    </row>
    <row r="6" spans="2:16" ht="26.25" x14ac:dyDescent="0.4">
      <c r="B6" s="254"/>
      <c r="C6" s="422">
        <v>42552</v>
      </c>
      <c r="D6" s="418"/>
      <c r="G6" s="92"/>
      <c r="J6" s="422">
        <v>42736</v>
      </c>
      <c r="K6" s="418"/>
      <c r="O6" s="359"/>
    </row>
    <row r="7" spans="2:16" s="69" customFormat="1" ht="15.75" thickBot="1" x14ac:dyDescent="0.3">
      <c r="B7" s="137" t="s">
        <v>37</v>
      </c>
      <c r="C7" s="137" t="s">
        <v>38</v>
      </c>
      <c r="D7" s="137" t="s">
        <v>39</v>
      </c>
      <c r="E7" s="137" t="s">
        <v>40</v>
      </c>
      <c r="F7" s="296" t="s">
        <v>39</v>
      </c>
      <c r="G7" s="148"/>
      <c r="H7" s="35"/>
      <c r="I7" s="137" t="s">
        <v>37</v>
      </c>
      <c r="J7" s="137" t="s">
        <v>38</v>
      </c>
      <c r="K7" s="137" t="s">
        <v>39</v>
      </c>
      <c r="L7" s="137" t="s">
        <v>40</v>
      </c>
      <c r="M7" s="137" t="s">
        <v>39</v>
      </c>
      <c r="O7" s="360"/>
    </row>
    <row r="8" spans="2:16" s="69" customFormat="1" x14ac:dyDescent="0.25">
      <c r="B8" s="138"/>
      <c r="C8" s="138"/>
      <c r="D8" s="137" t="s">
        <v>41</v>
      </c>
      <c r="E8" s="137" t="s">
        <v>42</v>
      </c>
      <c r="F8" s="297" t="s">
        <v>43</v>
      </c>
      <c r="G8" s="148"/>
      <c r="H8" s="35"/>
      <c r="I8" s="138"/>
      <c r="J8" s="138"/>
      <c r="K8" s="137" t="s">
        <v>41</v>
      </c>
      <c r="L8" s="137" t="s">
        <v>42</v>
      </c>
      <c r="M8" s="137" t="s">
        <v>43</v>
      </c>
    </row>
    <row r="9" spans="2:16" ht="21" x14ac:dyDescent="0.35">
      <c r="B9" s="145">
        <v>1</v>
      </c>
      <c r="C9" s="145" t="s">
        <v>44</v>
      </c>
      <c r="D9" s="145">
        <f>LOOKUP(F9,'IB-IM et VP'!A:A,'IB-IM et VP'!C:C)</f>
        <v>349</v>
      </c>
      <c r="E9" s="188">
        <f>D9*'IB-IM et VP'!P3</f>
        <v>1625.6681749999998</v>
      </c>
      <c r="F9" s="145">
        <v>379</v>
      </c>
      <c r="G9" s="227" t="s">
        <v>56</v>
      </c>
      <c r="H9" s="35"/>
      <c r="I9" s="145">
        <v>1</v>
      </c>
      <c r="J9" s="145" t="s">
        <v>224</v>
      </c>
      <c r="K9" s="145">
        <f>LOOKUP(M9,'IB-IM et VP'!A:A,'IB-IM et VP'!C:C)</f>
        <v>383</v>
      </c>
      <c r="L9" s="188">
        <f>K9*'IB-IM et VP'!P3</f>
        <v>1784.0427249999998</v>
      </c>
      <c r="M9" s="145">
        <v>434</v>
      </c>
      <c r="O9" s="207">
        <f>L1</f>
        <v>41680</v>
      </c>
    </row>
    <row r="10" spans="2:16" ht="21" x14ac:dyDescent="0.35">
      <c r="B10" s="145">
        <v>2</v>
      </c>
      <c r="C10" s="145" t="s">
        <v>45</v>
      </c>
      <c r="D10" s="145">
        <f>LOOKUP(F10,'IB-IM et VP'!A:A,'IB-IM et VP'!C:C)</f>
        <v>376</v>
      </c>
      <c r="E10" s="188">
        <f>D10*'IB-IM et VP'!P4</f>
        <v>1751.4361999999996</v>
      </c>
      <c r="F10" s="145">
        <v>423</v>
      </c>
      <c r="G10" s="227" t="s">
        <v>57</v>
      </c>
      <c r="H10" s="35"/>
      <c r="I10" s="408">
        <v>2</v>
      </c>
      <c r="J10" s="145" t="s">
        <v>45</v>
      </c>
      <c r="K10" s="145">
        <f>LOOKUP(M10,'IB-IM et VP'!A:A,'IB-IM et VP'!C:C)</f>
        <v>400</v>
      </c>
      <c r="L10" s="188">
        <f>K10*'IB-IM et VP'!P4</f>
        <v>1863.2299999999998</v>
      </c>
      <c r="M10" s="145">
        <v>457</v>
      </c>
      <c r="N10" s="105"/>
      <c r="O10" s="208">
        <f>A47</f>
        <v>42736</v>
      </c>
    </row>
    <row r="11" spans="2:16" ht="21" x14ac:dyDescent="0.35">
      <c r="B11" s="145">
        <v>3</v>
      </c>
      <c r="C11" s="145" t="s">
        <v>45</v>
      </c>
      <c r="D11" s="145">
        <f>LOOKUP(F11,'IB-IM et VP'!A:A,'IB-IM et VP'!C:C)</f>
        <v>389</v>
      </c>
      <c r="E11" s="188">
        <f>D11*'IB-IM et VP'!P5</f>
        <v>1811.9911749999997</v>
      </c>
      <c r="F11" s="145">
        <v>442</v>
      </c>
      <c r="G11" s="227" t="s">
        <v>56</v>
      </c>
      <c r="H11" s="35"/>
      <c r="I11" s="409"/>
      <c r="J11" s="145" t="s">
        <v>45</v>
      </c>
      <c r="K11" s="145">
        <f>LOOKUP(M11,'IB-IM et VP'!A:A,'IB-IM et VP'!C:C)</f>
        <v>400</v>
      </c>
      <c r="L11" s="188">
        <f>K11*'IB-IM et VP'!P5</f>
        <v>1863.2299999999998</v>
      </c>
      <c r="M11" s="145">
        <v>457</v>
      </c>
      <c r="O11" s="208">
        <f>L1</f>
        <v>41680</v>
      </c>
    </row>
    <row r="12" spans="2:16" ht="21" x14ac:dyDescent="0.35">
      <c r="B12" s="145">
        <v>4</v>
      </c>
      <c r="C12" s="145" t="s">
        <v>45</v>
      </c>
      <c r="D12" s="145">
        <f>LOOKUP(F12,'IB-IM et VP'!A:A,'IB-IM et VP'!C:C)</f>
        <v>408</v>
      </c>
      <c r="E12" s="188">
        <f>D12*'IB-IM et VP'!P6</f>
        <v>1900.4945999999998</v>
      </c>
      <c r="F12" s="145">
        <v>466</v>
      </c>
      <c r="G12" s="227" t="s">
        <v>56</v>
      </c>
      <c r="H12" s="35"/>
      <c r="I12" s="145">
        <v>3</v>
      </c>
      <c r="J12" s="145" t="s">
        <v>45</v>
      </c>
      <c r="K12" s="145">
        <f>LOOKUP(M12,'IB-IM et VP'!A:A,'IB-IM et VP'!C:C)</f>
        <v>418</v>
      </c>
      <c r="L12" s="188">
        <f>K12*'IB-IM et VP'!P6</f>
        <v>1947.0753499999996</v>
      </c>
      <c r="M12" s="145">
        <v>483</v>
      </c>
      <c r="N12" s="105"/>
      <c r="O12" s="208">
        <f>L1</f>
        <v>41680</v>
      </c>
    </row>
    <row r="13" spans="2:16" ht="21" x14ac:dyDescent="0.35">
      <c r="B13" s="134">
        <v>5</v>
      </c>
      <c r="C13" s="145" t="s">
        <v>45</v>
      </c>
      <c r="D13" s="145">
        <f>LOOKUP(F13,'IB-IM et VP'!A:A,'IB-IM et VP'!C:C)</f>
        <v>431</v>
      </c>
      <c r="E13" s="188">
        <f>D13*'IB-IM et VP'!P7</f>
        <v>2007.6303249999996</v>
      </c>
      <c r="F13" s="145">
        <v>500</v>
      </c>
      <c r="G13" s="227" t="s">
        <v>56</v>
      </c>
      <c r="H13" s="35"/>
      <c r="I13" s="145">
        <v>4</v>
      </c>
      <c r="J13" s="145" t="s">
        <v>45</v>
      </c>
      <c r="K13" s="145">
        <f>LOOKUP(M13,'IB-IM et VP'!A:A,'IB-IM et VP'!C:C)</f>
        <v>440</v>
      </c>
      <c r="L13" s="188">
        <f>K13*'IB-IM et VP'!P7</f>
        <v>2049.5529999999999</v>
      </c>
      <c r="M13" s="145">
        <v>512</v>
      </c>
      <c r="O13" s="208">
        <f>L1</f>
        <v>41680</v>
      </c>
    </row>
    <row r="14" spans="2:16" ht="21" x14ac:dyDescent="0.35">
      <c r="B14" s="134">
        <v>6</v>
      </c>
      <c r="C14" s="134" t="s">
        <v>89</v>
      </c>
      <c r="D14" s="145">
        <f>LOOKUP(F14,'IB-IM et VP'!A:A,'IB-IM et VP'!C:C)</f>
        <v>461</v>
      </c>
      <c r="E14" s="188">
        <f>D14*'IB-IM et VP'!P8</f>
        <v>2147.3725749999999</v>
      </c>
      <c r="F14" s="145">
        <v>542</v>
      </c>
      <c r="G14" s="227" t="s">
        <v>56</v>
      </c>
      <c r="H14" s="35"/>
      <c r="I14" s="134">
        <v>5</v>
      </c>
      <c r="J14" s="134" t="s">
        <v>89</v>
      </c>
      <c r="K14" s="145">
        <f>LOOKUP(M14,'IB-IM et VP'!A:A,'IB-IM et VP'!C:C)</f>
        <v>468</v>
      </c>
      <c r="L14" s="188">
        <f>K14*'IB-IM et VP'!P8</f>
        <v>2179.9790999999996</v>
      </c>
      <c r="M14" s="145">
        <v>551</v>
      </c>
      <c r="N14" s="105"/>
      <c r="O14" s="208">
        <f>L1</f>
        <v>41680</v>
      </c>
    </row>
    <row r="15" spans="2:16" ht="21" x14ac:dyDescent="0.35">
      <c r="B15" s="134">
        <v>7</v>
      </c>
      <c r="C15" s="134" t="s">
        <v>89</v>
      </c>
      <c r="D15" s="145">
        <f>LOOKUP(F15,'IB-IM et VP'!A:A,'IB-IM et VP'!C:C)</f>
        <v>496</v>
      </c>
      <c r="E15" s="188">
        <f>D15*'IB-IM et VP'!P9</f>
        <v>2310.4051999999997</v>
      </c>
      <c r="F15" s="145">
        <v>588</v>
      </c>
      <c r="G15" s="227" t="s">
        <v>225</v>
      </c>
      <c r="H15" s="35"/>
      <c r="I15" s="134">
        <v>6</v>
      </c>
      <c r="J15" s="134" t="s">
        <v>46</v>
      </c>
      <c r="K15" s="145">
        <f>LOOKUP(M15,'IB-IM et VP'!A:A,'IB-IM et VP'!C:C)</f>
        <v>505</v>
      </c>
      <c r="L15" s="188">
        <f>K15*'IB-IM et VP'!P9</f>
        <v>2352.3278749999995</v>
      </c>
      <c r="M15" s="145">
        <v>600</v>
      </c>
      <c r="O15" s="207">
        <f>K50</f>
        <v>41468.800000000003</v>
      </c>
    </row>
    <row r="16" spans="2:16" ht="21" x14ac:dyDescent="0.35">
      <c r="B16" s="134">
        <v>8</v>
      </c>
      <c r="C16" s="134" t="s">
        <v>89</v>
      </c>
      <c r="D16" s="145">
        <f>LOOKUP(F16,'IB-IM et VP'!A:A,'IB-IM et VP'!C:C)</f>
        <v>524</v>
      </c>
      <c r="E16" s="188">
        <f>D16*'IB-IM et VP'!P10</f>
        <v>2440.8312999999998</v>
      </c>
      <c r="F16" s="145">
        <v>625</v>
      </c>
      <c r="G16" s="227" t="s">
        <v>225</v>
      </c>
      <c r="H16" s="35"/>
      <c r="I16" s="134">
        <v>7</v>
      </c>
      <c r="J16" s="134" t="s">
        <v>46</v>
      </c>
      <c r="K16" s="145">
        <f>LOOKUP(M16,'IB-IM et VP'!A:A,'IB-IM et VP'!C:C)</f>
        <v>532</v>
      </c>
      <c r="L16" s="188">
        <f>K16*'IB-IM et VP'!P10</f>
        <v>2478.0958999999998</v>
      </c>
      <c r="M16" s="145">
        <v>635</v>
      </c>
      <c r="N16" s="105"/>
      <c r="O16" s="208">
        <f>K50</f>
        <v>41468.800000000003</v>
      </c>
    </row>
    <row r="17" spans="2:15" ht="21" x14ac:dyDescent="0.35">
      <c r="B17" s="134">
        <v>9</v>
      </c>
      <c r="C17" s="134" t="s">
        <v>89</v>
      </c>
      <c r="D17" s="145">
        <f>LOOKUP(F17,'IB-IM et VP'!A:A,'IB-IM et VP'!C:C)</f>
        <v>545</v>
      </c>
      <c r="E17" s="188">
        <f>D17*'IB-IM et VP'!P11</f>
        <v>2538.6508749999998</v>
      </c>
      <c r="F17" s="145">
        <v>653</v>
      </c>
      <c r="G17" s="227" t="s">
        <v>225</v>
      </c>
      <c r="H17" s="35"/>
      <c r="I17" s="134">
        <v>8</v>
      </c>
      <c r="J17" s="134" t="s">
        <v>46</v>
      </c>
      <c r="K17" s="145">
        <f>LOOKUP(M17,'IB-IM et VP'!A:A,'IB-IM et VP'!C:C)</f>
        <v>560</v>
      </c>
      <c r="L17" s="188">
        <f>K17*'IB-IM et VP'!P11</f>
        <v>2608.5219999999995</v>
      </c>
      <c r="M17" s="145">
        <v>672</v>
      </c>
      <c r="O17" s="207">
        <f>K50</f>
        <v>41468.800000000003</v>
      </c>
    </row>
    <row r="18" spans="2:15" ht="21" x14ac:dyDescent="0.35">
      <c r="B18" s="134">
        <v>10</v>
      </c>
      <c r="C18" s="134" t="s">
        <v>89</v>
      </c>
      <c r="D18" s="145">
        <f>LOOKUP(F18,'IB-IM et VP'!A:A,'IB-IM et VP'!C:C)</f>
        <v>584</v>
      </c>
      <c r="E18" s="188">
        <f>D18*'IB-IM et VP'!P12</f>
        <v>2720.3157999999994</v>
      </c>
      <c r="F18" s="145">
        <v>703</v>
      </c>
      <c r="G18" s="227" t="s">
        <v>225</v>
      </c>
      <c r="H18" s="35"/>
      <c r="I18" s="134">
        <v>9</v>
      </c>
      <c r="J18" s="134" t="s">
        <v>46</v>
      </c>
      <c r="K18" s="145">
        <f>LOOKUP(M18,'IB-IM et VP'!A:A,'IB-IM et VP'!C:C)</f>
        <v>590</v>
      </c>
      <c r="L18" s="188">
        <f>K18*'IB-IM et VP'!P12</f>
        <v>2748.2642499999997</v>
      </c>
      <c r="M18" s="145">
        <v>712</v>
      </c>
      <c r="N18" s="105"/>
      <c r="O18" s="208">
        <f>K50</f>
        <v>41468.800000000003</v>
      </c>
    </row>
    <row r="19" spans="2:15" ht="21" x14ac:dyDescent="0.35">
      <c r="B19" s="134">
        <v>11</v>
      </c>
      <c r="C19" s="134" t="s">
        <v>89</v>
      </c>
      <c r="D19" s="145">
        <f>LOOKUP(F19,'IB-IM et VP'!A:A,'IB-IM et VP'!C:C)</f>
        <v>626</v>
      </c>
      <c r="E19" s="188">
        <f>D19*'IB-IM et VP'!P13</f>
        <v>2915.9549499999994</v>
      </c>
      <c r="F19" s="145">
        <v>759</v>
      </c>
      <c r="G19" s="227" t="s">
        <v>226</v>
      </c>
      <c r="H19" s="35"/>
      <c r="I19" s="134">
        <v>10</v>
      </c>
      <c r="J19" s="134" t="s">
        <v>47</v>
      </c>
      <c r="K19" s="145">
        <f>LOOKUP(M19,'IB-IM et VP'!A:A,'IB-IM et VP'!C:C)</f>
        <v>635</v>
      </c>
      <c r="L19" s="188">
        <f>K19*'IB-IM et VP'!P13</f>
        <v>2957.8776249999996</v>
      </c>
      <c r="M19" s="145">
        <v>772</v>
      </c>
      <c r="O19" s="207">
        <f>Q50</f>
        <v>41046.400000000001</v>
      </c>
    </row>
    <row r="20" spans="2:15" ht="21" x14ac:dyDescent="0.35">
      <c r="B20" s="134">
        <v>12</v>
      </c>
      <c r="C20" s="134"/>
      <c r="D20" s="145">
        <f>LOOKUP(F20,'IB-IM et VP'!A:A,'IB-IM et VP'!C:C)</f>
        <v>658</v>
      </c>
      <c r="E20" s="188">
        <f>D20*'IB-IM et VP'!P14</f>
        <v>3065.0133499999997</v>
      </c>
      <c r="F20" s="145">
        <v>801</v>
      </c>
      <c r="G20" s="227" t="s">
        <v>56</v>
      </c>
      <c r="H20" s="35"/>
      <c r="I20" s="134">
        <v>11</v>
      </c>
      <c r="J20" s="134"/>
      <c r="K20" s="145">
        <f>LOOKUP(M20,'IB-IM et VP'!A:A,'IB-IM et VP'!C:C)</f>
        <v>664</v>
      </c>
      <c r="L20" s="188">
        <f>K20*'IB-IM et VP'!P14</f>
        <v>3092.9617999999996</v>
      </c>
      <c r="M20" s="145">
        <v>810</v>
      </c>
      <c r="N20" s="214"/>
      <c r="O20" s="208">
        <f>L1</f>
        <v>41680</v>
      </c>
    </row>
    <row r="21" spans="2:15" ht="21" x14ac:dyDescent="0.35">
      <c r="B21" s="136"/>
      <c r="C21" s="136"/>
      <c r="D21" s="136"/>
      <c r="E21" s="136"/>
      <c r="F21" s="136"/>
      <c r="G21" s="227"/>
      <c r="I21" s="136"/>
      <c r="J21" s="136"/>
      <c r="K21" s="136"/>
      <c r="L21" s="136"/>
      <c r="M21" s="136"/>
      <c r="N21" s="298"/>
      <c r="O21" s="217"/>
    </row>
    <row r="22" spans="2:15" ht="21" x14ac:dyDescent="0.35">
      <c r="B22" s="136"/>
      <c r="C22" s="136"/>
      <c r="D22" s="136"/>
      <c r="E22" s="136"/>
      <c r="F22" s="136"/>
      <c r="G22" s="227"/>
      <c r="I22" s="136"/>
      <c r="J22" s="136"/>
      <c r="K22" s="136"/>
      <c r="L22" s="136"/>
      <c r="M22" s="136"/>
      <c r="O22" s="217"/>
    </row>
    <row r="23" spans="2:15" ht="21" x14ac:dyDescent="0.35">
      <c r="B23" s="136"/>
      <c r="C23" s="136"/>
      <c r="D23" s="136"/>
      <c r="E23" s="136"/>
      <c r="F23" s="136"/>
      <c r="G23" s="227"/>
      <c r="H23" s="35"/>
      <c r="I23" s="136"/>
      <c r="J23" s="136"/>
      <c r="K23" s="136"/>
      <c r="L23" s="136"/>
      <c r="M23" s="136"/>
      <c r="O23" s="217"/>
    </row>
    <row r="24" spans="2:15" ht="21" x14ac:dyDescent="0.35">
      <c r="B24" s="136"/>
      <c r="C24" s="136"/>
      <c r="D24" s="136"/>
      <c r="E24" s="136"/>
      <c r="F24" s="136"/>
      <c r="G24" s="227"/>
      <c r="H24" s="35"/>
      <c r="I24" s="136"/>
      <c r="J24" s="136"/>
      <c r="K24" s="136"/>
      <c r="L24" s="136"/>
      <c r="M24" s="136"/>
      <c r="O24" s="218"/>
    </row>
    <row r="25" spans="2:15" s="69" customFormat="1" ht="21" x14ac:dyDescent="0.35">
      <c r="B25" s="137" t="s">
        <v>37</v>
      </c>
      <c r="C25" s="137" t="s">
        <v>38</v>
      </c>
      <c r="D25" s="137" t="s">
        <v>39</v>
      </c>
      <c r="E25" s="137" t="s">
        <v>40</v>
      </c>
      <c r="F25" s="296" t="s">
        <v>39</v>
      </c>
      <c r="G25" s="227"/>
      <c r="H25" s="35"/>
      <c r="I25" s="137" t="s">
        <v>37</v>
      </c>
      <c r="J25" s="137" t="s">
        <v>38</v>
      </c>
      <c r="K25" s="137" t="s">
        <v>39</v>
      </c>
      <c r="L25" s="137" t="s">
        <v>40</v>
      </c>
      <c r="M25" s="137" t="s">
        <v>39</v>
      </c>
      <c r="O25" s="218"/>
    </row>
    <row r="26" spans="2:15" s="69" customFormat="1" ht="21" x14ac:dyDescent="0.35">
      <c r="B26" s="138"/>
      <c r="C26" s="138"/>
      <c r="D26" s="137" t="s">
        <v>41</v>
      </c>
      <c r="E26" s="137" t="s">
        <v>42</v>
      </c>
      <c r="F26" s="297" t="s">
        <v>43</v>
      </c>
      <c r="G26" s="227"/>
      <c r="H26" s="35"/>
      <c r="I26" s="138"/>
      <c r="J26" s="138"/>
      <c r="K26" s="137" t="s">
        <v>41</v>
      </c>
      <c r="L26" s="137" t="s">
        <v>42</v>
      </c>
      <c r="M26" s="137" t="s">
        <v>43</v>
      </c>
      <c r="O26" s="217"/>
    </row>
    <row r="27" spans="2:15" ht="21" x14ac:dyDescent="0.35">
      <c r="B27" s="145">
        <v>1</v>
      </c>
      <c r="C27" s="145" t="s">
        <v>44</v>
      </c>
      <c r="D27" s="145">
        <f>LOOKUP(F27,'IB-IM et VP'!A:A,'IB-IM et VP'!C:C)</f>
        <v>434</v>
      </c>
      <c r="E27" s="188">
        <f>D27*'IB-IM et VP'!P21</f>
        <v>2021.6045499999998</v>
      </c>
      <c r="F27" s="145">
        <v>504</v>
      </c>
      <c r="G27" s="227" t="s">
        <v>56</v>
      </c>
      <c r="H27" s="35"/>
      <c r="I27" s="145">
        <v>1</v>
      </c>
      <c r="J27" s="145" t="s">
        <v>45</v>
      </c>
      <c r="K27" s="145">
        <f>LOOKUP(M27,'IB-IM et VP'!A:A,'IB-IM et VP'!C:C)</f>
        <v>489</v>
      </c>
      <c r="L27" s="188">
        <f>K27*'IB-IM et VP'!P21</f>
        <v>2277.7986749999995</v>
      </c>
      <c r="M27" s="145">
        <v>579</v>
      </c>
      <c r="O27" s="208">
        <f>L1</f>
        <v>41680</v>
      </c>
    </row>
    <row r="28" spans="2:15" ht="21" x14ac:dyDescent="0.35">
      <c r="B28" s="145">
        <v>2</v>
      </c>
      <c r="C28" s="145" t="s">
        <v>45</v>
      </c>
      <c r="D28" s="145">
        <f>LOOKUP(F28,'IB-IM et VP'!A:A,'IB-IM et VP'!C:C)</f>
        <v>483</v>
      </c>
      <c r="E28" s="188">
        <f>D28*'IB-IM et VP'!P22</f>
        <v>2249.8502249999997</v>
      </c>
      <c r="F28" s="145">
        <v>572</v>
      </c>
      <c r="G28" s="227" t="s">
        <v>227</v>
      </c>
      <c r="H28" s="35"/>
      <c r="I28" s="145">
        <v>1</v>
      </c>
      <c r="J28" s="145" t="s">
        <v>45</v>
      </c>
      <c r="K28" s="145">
        <f>LOOKUP(M28,'IB-IM et VP'!A:A,'IB-IM et VP'!C:C)</f>
        <v>489</v>
      </c>
      <c r="L28" s="188">
        <f>K28*'IB-IM et VP'!P22</f>
        <v>2277.7986749999995</v>
      </c>
      <c r="M28" s="145">
        <v>579</v>
      </c>
      <c r="N28" s="105"/>
      <c r="O28" s="207">
        <f>L1-365</f>
        <v>41315</v>
      </c>
    </row>
    <row r="29" spans="2:15" ht="21" x14ac:dyDescent="0.35">
      <c r="B29" s="145">
        <v>3</v>
      </c>
      <c r="C29" s="145" t="s">
        <v>45</v>
      </c>
      <c r="D29" s="145">
        <f>LOOKUP(F29,'IB-IM et VP'!A:A,'IB-IM et VP'!C:C)</f>
        <v>517</v>
      </c>
      <c r="E29" s="188">
        <f>D29*'IB-IM et VP'!P23</f>
        <v>2408.2247749999997</v>
      </c>
      <c r="F29" s="145">
        <v>616</v>
      </c>
      <c r="G29" s="227" t="s">
        <v>56</v>
      </c>
      <c r="H29" s="35"/>
      <c r="I29" s="145">
        <v>2</v>
      </c>
      <c r="J29" s="145" t="s">
        <v>45</v>
      </c>
      <c r="K29" s="145">
        <f>LOOKUP(M29,'IB-IM et VP'!A:A,'IB-IM et VP'!C:C)</f>
        <v>525</v>
      </c>
      <c r="L29" s="188">
        <f>K29*'IB-IM et VP'!P23</f>
        <v>2445.4893749999997</v>
      </c>
      <c r="M29" s="145">
        <v>626</v>
      </c>
      <c r="O29" s="208">
        <f>L1</f>
        <v>41680</v>
      </c>
    </row>
    <row r="30" spans="2:15" ht="21" x14ac:dyDescent="0.35">
      <c r="B30" s="145">
        <v>4</v>
      </c>
      <c r="C30" s="145" t="s">
        <v>45</v>
      </c>
      <c r="D30" s="145">
        <f>LOOKUP(F30,'IB-IM et VP'!A:A,'IB-IM et VP'!C:C)</f>
        <v>551</v>
      </c>
      <c r="E30" s="188">
        <f>D30*'IB-IM et VP'!P24</f>
        <v>2566.5993249999997</v>
      </c>
      <c r="F30" s="145">
        <v>660</v>
      </c>
      <c r="G30" s="227" t="s">
        <v>56</v>
      </c>
      <c r="H30" s="35"/>
      <c r="I30" s="145">
        <v>3</v>
      </c>
      <c r="J30" s="145" t="s">
        <v>45</v>
      </c>
      <c r="K30" s="145">
        <f>LOOKUP(M30,'IB-IM et VP'!A:A,'IB-IM et VP'!C:C)</f>
        <v>560</v>
      </c>
      <c r="L30" s="188">
        <f>K30*'IB-IM et VP'!P24</f>
        <v>2608.5219999999995</v>
      </c>
      <c r="M30" s="145">
        <v>672</v>
      </c>
      <c r="N30" s="105"/>
      <c r="O30" s="207">
        <f>L1</f>
        <v>41680</v>
      </c>
    </row>
    <row r="31" spans="2:15" ht="21" x14ac:dyDescent="0.35">
      <c r="B31" s="134">
        <v>5</v>
      </c>
      <c r="C31" s="145" t="s">
        <v>45</v>
      </c>
      <c r="D31" s="145">
        <f>LOOKUP(F31,'IB-IM et VP'!A:A,'IB-IM et VP'!C:C)</f>
        <v>590</v>
      </c>
      <c r="E31" s="188">
        <f>D31*'IB-IM et VP'!P25</f>
        <v>2748.2642499999997</v>
      </c>
      <c r="F31" s="145">
        <v>712</v>
      </c>
      <c r="G31" s="227" t="s">
        <v>56</v>
      </c>
      <c r="H31" s="35"/>
      <c r="I31" s="145">
        <v>4</v>
      </c>
      <c r="J31" s="145" t="s">
        <v>45</v>
      </c>
      <c r="K31" s="145">
        <f>LOOKUP(M31,'IB-IM et VP'!A:A,'IB-IM et VP'!C:C)</f>
        <v>600</v>
      </c>
      <c r="L31" s="188">
        <f>K31*'IB-IM et VP'!P25</f>
        <v>2794.8449999999998</v>
      </c>
      <c r="M31" s="145">
        <v>725</v>
      </c>
      <c r="O31" s="208">
        <f>L1</f>
        <v>41680</v>
      </c>
    </row>
    <row r="32" spans="2:15" ht="21" x14ac:dyDescent="0.35">
      <c r="B32" s="134">
        <v>6</v>
      </c>
      <c r="C32" s="145" t="s">
        <v>45</v>
      </c>
      <c r="D32" s="145">
        <f>LOOKUP(F32,'IB-IM et VP'!A:A,'IB-IM et VP'!C:C)</f>
        <v>626</v>
      </c>
      <c r="E32" s="188">
        <f>D32*'IB-IM et VP'!P26</f>
        <v>2915.9549499999994</v>
      </c>
      <c r="F32" s="145">
        <v>759</v>
      </c>
      <c r="G32" s="227" t="s">
        <v>56</v>
      </c>
      <c r="H32" s="35"/>
      <c r="I32" s="134">
        <v>5</v>
      </c>
      <c r="J32" s="145" t="s">
        <v>45</v>
      </c>
      <c r="K32" s="145">
        <f>LOOKUP(M32,'IB-IM et VP'!A:A,'IB-IM et VP'!C:C)</f>
        <v>640</v>
      </c>
      <c r="L32" s="188">
        <f>K32*'IB-IM et VP'!P26</f>
        <v>2981.1679999999997</v>
      </c>
      <c r="M32" s="145">
        <v>778</v>
      </c>
      <c r="N32" s="105"/>
      <c r="O32" s="207">
        <f>L1</f>
        <v>41680</v>
      </c>
    </row>
    <row r="33" spans="1:41" ht="21" x14ac:dyDescent="0.35">
      <c r="B33" s="134">
        <v>7</v>
      </c>
      <c r="C33" s="134" t="s">
        <v>89</v>
      </c>
      <c r="D33" s="145">
        <f>LOOKUP(F33,'IB-IM et VP'!A:A,'IB-IM et VP'!C:C)</f>
        <v>673</v>
      </c>
      <c r="E33" s="188">
        <f>D33*'IB-IM et VP'!P27</f>
        <v>3134.8844749999994</v>
      </c>
      <c r="F33" s="145">
        <v>821</v>
      </c>
      <c r="G33" s="227" t="s">
        <v>56</v>
      </c>
      <c r="I33" s="134">
        <v>6</v>
      </c>
      <c r="J33" s="134" t="s">
        <v>89</v>
      </c>
      <c r="K33" s="145">
        <f>LOOKUP(M33,'IB-IM et VP'!A:A,'IB-IM et VP'!C:C)</f>
        <v>680</v>
      </c>
      <c r="L33" s="188">
        <f>K33*'IB-IM et VP'!P27</f>
        <v>3167.4909999999995</v>
      </c>
      <c r="M33" s="145">
        <v>830</v>
      </c>
      <c r="O33" s="208">
        <f>L1</f>
        <v>41680</v>
      </c>
    </row>
    <row r="34" spans="1:41" ht="21" x14ac:dyDescent="0.35">
      <c r="B34" s="134">
        <v>8</v>
      </c>
      <c r="C34" s="134" t="s">
        <v>89</v>
      </c>
      <c r="D34" s="145">
        <f>LOOKUP(F34,'IB-IM et VP'!A:A,'IB-IM et VP'!C:C)</f>
        <v>706</v>
      </c>
      <c r="E34" s="188">
        <f>D34*'IB-IM et VP'!P28</f>
        <v>3288.6009499999996</v>
      </c>
      <c r="F34" s="134">
        <v>864</v>
      </c>
      <c r="G34" s="227" t="s">
        <v>56</v>
      </c>
      <c r="H34" s="35"/>
      <c r="I34" s="134">
        <v>7</v>
      </c>
      <c r="J34" s="134" t="s">
        <v>89</v>
      </c>
      <c r="K34" s="145">
        <f>LOOKUP(M34,'IB-IM et VP'!A:A,'IB-IM et VP'!C:C)</f>
        <v>717</v>
      </c>
      <c r="L34" s="188">
        <f>K34*'IB-IM et VP'!P28</f>
        <v>3339.8397749999995</v>
      </c>
      <c r="M34" s="145">
        <v>879</v>
      </c>
      <c r="N34" s="105"/>
      <c r="O34" s="207">
        <f>L1</f>
        <v>41680</v>
      </c>
    </row>
    <row r="35" spans="1:41" ht="21" x14ac:dyDescent="0.35">
      <c r="B35" s="134">
        <v>9</v>
      </c>
      <c r="C35" s="145" t="s">
        <v>46</v>
      </c>
      <c r="D35" s="145">
        <f>LOOKUP(F35,'IB-IM et VP'!A:A,'IB-IM et VP'!C:C)</f>
        <v>746</v>
      </c>
      <c r="E35" s="188">
        <f>D35*'IB-IM et VP'!P29</f>
        <v>3474.9239499999994</v>
      </c>
      <c r="F35" s="145">
        <v>916</v>
      </c>
      <c r="G35" s="227" t="s">
        <v>56</v>
      </c>
      <c r="H35" s="35"/>
      <c r="I35" s="134">
        <v>8</v>
      </c>
      <c r="J35" s="134" t="s">
        <v>46</v>
      </c>
      <c r="K35" s="145">
        <f>LOOKUP(M35,'IB-IM et VP'!A:A,'IB-IM et VP'!C:C)</f>
        <v>755</v>
      </c>
      <c r="L35" s="188">
        <f>K35*'IB-IM et VP'!P29</f>
        <v>3516.8466249999997</v>
      </c>
      <c r="M35" s="134">
        <v>929</v>
      </c>
      <c r="O35" s="208">
        <f>L1</f>
        <v>41680</v>
      </c>
    </row>
    <row r="36" spans="1:41" ht="21" x14ac:dyDescent="0.35">
      <c r="B36" s="134">
        <v>10</v>
      </c>
      <c r="C36" s="134"/>
      <c r="D36" s="145">
        <f>LOOKUP(F36,'IB-IM et VP'!A:A,'IB-IM et VP'!C:C)</f>
        <v>783</v>
      </c>
      <c r="E36" s="188">
        <f>D36*'IB-IM et VP'!P30</f>
        <v>3647.2727249999994</v>
      </c>
      <c r="F36" s="145">
        <v>966</v>
      </c>
      <c r="G36" s="227" t="s">
        <v>56</v>
      </c>
      <c r="H36" s="35"/>
      <c r="I36" s="134">
        <v>9</v>
      </c>
      <c r="J36" s="145"/>
      <c r="K36" s="145">
        <f>LOOKUP(M36,'IB-IM et VP'!A:A,'IB-IM et VP'!C:C)</f>
        <v>793</v>
      </c>
      <c r="L36" s="188">
        <f>K36*'IB-IM et VP'!P30</f>
        <v>3693.8534749999994</v>
      </c>
      <c r="M36" s="145">
        <v>979</v>
      </c>
      <c r="N36" s="105"/>
      <c r="O36" s="207">
        <f>L1</f>
        <v>41680</v>
      </c>
    </row>
    <row r="37" spans="1:41" ht="21" x14ac:dyDescent="0.35">
      <c r="G37" s="295"/>
      <c r="H37" s="35"/>
      <c r="I37" s="39"/>
      <c r="J37" s="39"/>
      <c r="K37" s="39"/>
      <c r="L37" s="39"/>
      <c r="M37" s="39"/>
      <c r="O37" s="299"/>
    </row>
    <row r="38" spans="1:41" ht="21" x14ac:dyDescent="0.35">
      <c r="B38" s="69"/>
      <c r="C38" s="69"/>
      <c r="D38" s="69"/>
      <c r="E38" s="69"/>
      <c r="F38" s="69"/>
      <c r="G38" s="83"/>
      <c r="H38" s="300"/>
      <c r="I38" s="301"/>
      <c r="J38" s="301"/>
      <c r="K38" s="301"/>
      <c r="L38" s="302"/>
      <c r="M38" s="301"/>
      <c r="N38" s="69"/>
      <c r="O38" s="218"/>
    </row>
    <row r="39" spans="1:41" ht="21" x14ac:dyDescent="0.35">
      <c r="B39" s="69"/>
      <c r="C39" s="69"/>
      <c r="D39" s="69"/>
      <c r="E39" s="69"/>
      <c r="F39" s="69"/>
      <c r="G39" s="83"/>
      <c r="H39" s="300"/>
      <c r="I39" s="301"/>
      <c r="J39" s="301"/>
      <c r="K39" s="301"/>
      <c r="L39" s="302"/>
      <c r="M39" s="301"/>
      <c r="N39" s="69"/>
      <c r="O39" s="218"/>
    </row>
    <row r="40" spans="1:41" ht="21" x14ac:dyDescent="0.35">
      <c r="B40" s="69"/>
      <c r="C40" s="69"/>
      <c r="D40" s="69"/>
      <c r="E40" s="69"/>
      <c r="F40" s="69"/>
      <c r="G40" s="83"/>
      <c r="H40" s="300"/>
      <c r="I40" s="301"/>
      <c r="J40" s="301"/>
      <c r="K40" s="301"/>
      <c r="L40" s="302"/>
      <c r="M40" s="301"/>
      <c r="N40" s="69"/>
      <c r="O40" s="218"/>
    </row>
    <row r="41" spans="1:41" ht="21" x14ac:dyDescent="0.35">
      <c r="B41" s="303"/>
      <c r="C41" s="140"/>
      <c r="D41" s="131"/>
      <c r="E41" s="304"/>
      <c r="F41" s="131"/>
      <c r="G41" s="305"/>
      <c r="H41" s="140"/>
      <c r="I41" s="303"/>
      <c r="J41" s="131"/>
      <c r="K41" s="131"/>
      <c r="L41" s="304"/>
      <c r="M41" s="143"/>
      <c r="N41" s="69"/>
      <c r="O41" s="69"/>
    </row>
    <row r="42" spans="1:41" ht="21" x14ac:dyDescent="0.35">
      <c r="B42" s="140"/>
      <c r="C42" s="140"/>
      <c r="D42" s="140"/>
      <c r="E42" s="140"/>
      <c r="F42" s="140"/>
      <c r="G42" s="142"/>
      <c r="H42" s="140"/>
      <c r="I42" s="303"/>
      <c r="J42" s="131"/>
      <c r="K42" s="131"/>
      <c r="L42" s="304"/>
      <c r="M42" s="143"/>
      <c r="N42" s="69"/>
      <c r="O42" s="69"/>
    </row>
    <row r="43" spans="1:41" x14ac:dyDescent="0.25">
      <c r="B43" s="124"/>
      <c r="C43" s="124"/>
      <c r="D43" s="124"/>
      <c r="E43" s="124"/>
      <c r="F43" s="124"/>
      <c r="G43" s="136"/>
      <c r="H43" s="124"/>
      <c r="I43" s="124"/>
      <c r="J43" s="124"/>
      <c r="K43" s="124"/>
      <c r="L43" s="124"/>
      <c r="M43" s="124"/>
    </row>
    <row r="44" spans="1:41" hidden="1" x14ac:dyDescent="0.25">
      <c r="G44" s="295"/>
      <c r="K44" s="36"/>
    </row>
    <row r="45" spans="1:41" hidden="1" x14ac:dyDescent="0.25">
      <c r="O45"/>
    </row>
    <row r="46" spans="1:41" customFormat="1" ht="15.75" hidden="1" thickBot="1" x14ac:dyDescent="0.3">
      <c r="O46" s="36"/>
      <c r="AE46" s="101"/>
    </row>
    <row r="47" spans="1:41" s="40" customFormat="1" ht="15" hidden="1" customHeight="1" thickBot="1" x14ac:dyDescent="0.3">
      <c r="A47" s="377">
        <v>42736</v>
      </c>
      <c r="B47" s="378"/>
      <c r="C47" s="379"/>
      <c r="D47" s="380"/>
      <c r="E47" s="42"/>
      <c r="F47" s="43"/>
      <c r="G47" s="43"/>
      <c r="H47" s="435" t="s">
        <v>228</v>
      </c>
      <c r="I47" s="436"/>
      <c r="J47" s="436"/>
      <c r="K47" s="437"/>
      <c r="L47" s="44"/>
      <c r="M47" s="45"/>
      <c r="N47" s="433" t="s">
        <v>229</v>
      </c>
      <c r="O47" s="434"/>
      <c r="P47" s="434"/>
      <c r="Q47" s="294"/>
      <c r="R47" s="44"/>
      <c r="S47" s="45"/>
      <c r="T47" s="384" t="s">
        <v>77</v>
      </c>
      <c r="U47" s="385"/>
      <c r="V47" s="385"/>
      <c r="W47" s="386"/>
      <c r="X47" s="46"/>
      <c r="Y47" s="45"/>
      <c r="Z47" s="384" t="s">
        <v>78</v>
      </c>
      <c r="AA47" s="385"/>
      <c r="AB47" s="385"/>
      <c r="AC47" s="386"/>
      <c r="AE47" s="102"/>
      <c r="AF47" s="384" t="s">
        <v>138</v>
      </c>
      <c r="AG47" s="385"/>
      <c r="AH47" s="385"/>
      <c r="AI47" s="386"/>
      <c r="AK47" s="102"/>
      <c r="AL47" s="384" t="s">
        <v>167</v>
      </c>
      <c r="AM47" s="385"/>
      <c r="AN47" s="385"/>
      <c r="AO47" s="386"/>
    </row>
    <row r="48" spans="1:41" customFormat="1" ht="23.25" hidden="1" thickBot="1" x14ac:dyDescent="0.3">
      <c r="A48" s="74"/>
      <c r="B48" s="47"/>
      <c r="C48" s="48" t="s">
        <v>79</v>
      </c>
      <c r="D48" s="49" t="s">
        <v>80</v>
      </c>
      <c r="E48" s="49"/>
      <c r="F48" s="49"/>
      <c r="G48" s="49"/>
      <c r="H48" s="50" t="s">
        <v>81</v>
      </c>
      <c r="I48" s="51" t="s">
        <v>82</v>
      </c>
      <c r="J48" s="51" t="s">
        <v>83</v>
      </c>
      <c r="K48" s="52" t="s">
        <v>84</v>
      </c>
      <c r="L48" s="53"/>
      <c r="M48" s="54"/>
      <c r="N48" s="50" t="s">
        <v>81</v>
      </c>
      <c r="O48" s="51" t="s">
        <v>82</v>
      </c>
      <c r="P48" s="51" t="s">
        <v>83</v>
      </c>
      <c r="Q48" s="55" t="s">
        <v>84</v>
      </c>
      <c r="R48" s="53"/>
      <c r="S48" s="54"/>
      <c r="T48" s="50" t="s">
        <v>81</v>
      </c>
      <c r="U48" s="51" t="s">
        <v>82</v>
      </c>
      <c r="V48" s="51" t="s">
        <v>83</v>
      </c>
      <c r="W48" s="55" t="s">
        <v>84</v>
      </c>
      <c r="X48" s="56"/>
      <c r="Y48" s="57"/>
      <c r="Z48" s="50" t="s">
        <v>81</v>
      </c>
      <c r="AA48" s="51" t="s">
        <v>82</v>
      </c>
      <c r="AB48" s="51" t="s">
        <v>83</v>
      </c>
      <c r="AC48" s="55" t="s">
        <v>84</v>
      </c>
      <c r="AE48" s="103"/>
      <c r="AF48" s="50" t="s">
        <v>81</v>
      </c>
      <c r="AG48" s="51" t="s">
        <v>82</v>
      </c>
      <c r="AH48" s="51" t="s">
        <v>83</v>
      </c>
      <c r="AI48" s="55" t="s">
        <v>84</v>
      </c>
      <c r="AK48" s="103"/>
      <c r="AL48" s="50" t="s">
        <v>81</v>
      </c>
      <c r="AM48" s="51" t="s">
        <v>82</v>
      </c>
      <c r="AN48" s="51" t="s">
        <v>83</v>
      </c>
      <c r="AO48" s="55" t="s">
        <v>84</v>
      </c>
    </row>
    <row r="49" spans="1:41" customFormat="1" ht="16.5" hidden="1" thickTop="1" thickBot="1" x14ac:dyDescent="0.3">
      <c r="H49" s="12"/>
      <c r="I49" s="12"/>
      <c r="J49" s="12"/>
      <c r="K49" s="12"/>
      <c r="N49" s="12"/>
      <c r="O49" s="12"/>
      <c r="P49" s="12"/>
      <c r="Q49" s="12"/>
      <c r="T49" s="12"/>
      <c r="U49" s="12"/>
      <c r="V49" s="12"/>
      <c r="W49" s="12"/>
      <c r="Z49" s="12"/>
      <c r="AA49" s="12"/>
      <c r="AB49" s="12"/>
      <c r="AC49" s="12"/>
      <c r="AE49" s="101"/>
      <c r="AF49" s="12"/>
      <c r="AG49" s="12"/>
      <c r="AH49" s="12"/>
      <c r="AI49" s="12"/>
      <c r="AK49" s="101"/>
      <c r="AL49" s="12"/>
      <c r="AM49" s="12"/>
      <c r="AN49" s="12"/>
      <c r="AO49" s="12"/>
    </row>
    <row r="50" spans="1:41" customFormat="1" ht="16.5" hidden="1" thickTop="1" thickBot="1" x14ac:dyDescent="0.3">
      <c r="A50" s="121"/>
      <c r="B50" s="41">
        <f>A47</f>
        <v>42736</v>
      </c>
      <c r="C50" s="58">
        <f>L1</f>
        <v>41680</v>
      </c>
      <c r="D50" s="59">
        <f>E50/30.5</f>
        <v>34.622950819672134</v>
      </c>
      <c r="E50" s="60">
        <f>B50-C50</f>
        <v>1056</v>
      </c>
      <c r="F50" s="61"/>
      <c r="G50" s="61">
        <f>E50*6/5</f>
        <v>1267.2</v>
      </c>
      <c r="H50" s="62">
        <f>INT(D50*1/2/12)</f>
        <v>1</v>
      </c>
      <c r="I50" s="63">
        <f>INT(D50*1/2-(H50*12))</f>
        <v>5</v>
      </c>
      <c r="J50" s="64">
        <f>ROUND((D50*1/2-(H50*12)-I50)*30,0)</f>
        <v>9</v>
      </c>
      <c r="K50" s="86">
        <f>B50-G50</f>
        <v>41468.800000000003</v>
      </c>
      <c r="L50" s="65"/>
      <c r="M50" s="66">
        <f>E50*8/5</f>
        <v>1689.6</v>
      </c>
      <c r="N50" s="62">
        <f>INT(D50*3/4/12)</f>
        <v>2</v>
      </c>
      <c r="O50" s="63">
        <f>INT(D50*3/4-(N50*12))</f>
        <v>1</v>
      </c>
      <c r="P50" s="64">
        <f>ROUND((D50*3/4-(N50*12)-O50)*30,0)</f>
        <v>29</v>
      </c>
      <c r="Q50" s="87">
        <f>B50-M50</f>
        <v>41046.400000000001</v>
      </c>
      <c r="R50" s="65"/>
      <c r="S50" s="61">
        <f>E50*2/3</f>
        <v>704</v>
      </c>
      <c r="T50" s="62">
        <f>INT(D50*2/3/12)</f>
        <v>1</v>
      </c>
      <c r="U50" s="63">
        <f>INT(D50*2/3-(T50*12))</f>
        <v>11</v>
      </c>
      <c r="V50" s="64">
        <f>ROUND((D50*2/3-(T50*12)-U50)*30,0)</f>
        <v>2</v>
      </c>
      <c r="W50" s="87">
        <f>B50-S50</f>
        <v>42032</v>
      </c>
      <c r="X50" s="67"/>
      <c r="Y50" s="66">
        <f>E50*4/3</f>
        <v>1408</v>
      </c>
      <c r="Z50" s="62">
        <f>INT(D50*4/3/12)</f>
        <v>3</v>
      </c>
      <c r="AA50" s="63">
        <f>INT(D50*4/3-(Z50*12))</f>
        <v>10</v>
      </c>
      <c r="AB50" s="64">
        <f>ROUND((D50*4/3-(Z50*12)-AA50)*30,0)</f>
        <v>5</v>
      </c>
      <c r="AC50" s="87">
        <f>B50-Y50</f>
        <v>41328</v>
      </c>
      <c r="AE50" s="100">
        <f>E50*2</f>
        <v>2112</v>
      </c>
      <c r="AF50" s="62">
        <f>INT(J50*4/3/12)</f>
        <v>1</v>
      </c>
      <c r="AG50" s="63">
        <f>INT(J50*4/3-(AF50*12))</f>
        <v>0</v>
      </c>
      <c r="AH50" s="64">
        <f>ROUND((J50*4/3-(AF50*12)-AG50)*30,0)</f>
        <v>0</v>
      </c>
      <c r="AI50" s="87">
        <f>C50-AE50</f>
        <v>39568</v>
      </c>
      <c r="AK50" s="100">
        <f>E50*3</f>
        <v>3168</v>
      </c>
      <c r="AL50" s="62">
        <f>INT(P50*4/3/12)</f>
        <v>3</v>
      </c>
      <c r="AM50" s="63">
        <f>INT(P50*4/3-(AL50*12))</f>
        <v>2</v>
      </c>
      <c r="AN50" s="64">
        <f>ROUND((P50*4/3-(AL50*12)-AM50)*30,0)</f>
        <v>20</v>
      </c>
      <c r="AO50" s="87">
        <f>C50-AK50</f>
        <v>38512</v>
      </c>
    </row>
    <row r="51" spans="1:41" customFormat="1" hidden="1" x14ac:dyDescent="0.25">
      <c r="B51" s="41"/>
      <c r="C51" s="75"/>
      <c r="D51" s="76"/>
      <c r="E51" s="60"/>
      <c r="F51" s="61"/>
      <c r="G51" s="61"/>
      <c r="H51" s="70"/>
      <c r="I51" s="70"/>
      <c r="J51" s="73"/>
      <c r="K51" s="77"/>
      <c r="L51" s="61"/>
      <c r="M51" s="66"/>
      <c r="N51" s="70"/>
      <c r="O51" s="70"/>
      <c r="P51" s="73"/>
      <c r="Q51" s="67"/>
      <c r="R51" s="61"/>
      <c r="S51" s="61"/>
      <c r="T51" s="70"/>
      <c r="U51" s="70"/>
      <c r="V51" s="73"/>
      <c r="W51" s="67"/>
      <c r="X51" s="67"/>
      <c r="Y51" s="66"/>
      <c r="Z51" s="70"/>
      <c r="AA51" s="70"/>
      <c r="AB51" s="73"/>
      <c r="AC51" s="67"/>
      <c r="AE51" s="101"/>
    </row>
    <row r="52" spans="1:41" customFormat="1" ht="15.75" hidden="1" thickBot="1" x14ac:dyDescent="0.3">
      <c r="F52" s="12"/>
      <c r="AE52" s="101"/>
    </row>
    <row r="53" spans="1:41" customFormat="1" ht="12.75" hidden="1" customHeight="1" x14ac:dyDescent="0.25">
      <c r="F53" s="12"/>
      <c r="H53" s="381" t="s">
        <v>85</v>
      </c>
      <c r="I53" s="382"/>
      <c r="J53" s="382"/>
      <c r="K53" s="383"/>
      <c r="N53" s="384" t="s">
        <v>90</v>
      </c>
      <c r="O53" s="385"/>
      <c r="P53" s="385"/>
      <c r="Q53" s="294"/>
      <c r="T53" s="384" t="s">
        <v>91</v>
      </c>
      <c r="U53" s="385"/>
      <c r="V53" s="385"/>
      <c r="W53" s="386"/>
      <c r="Z53" s="384" t="s">
        <v>132</v>
      </c>
      <c r="AA53" s="385"/>
      <c r="AB53" s="385"/>
      <c r="AC53" s="386"/>
      <c r="AE53" s="101"/>
      <c r="AF53" s="384" t="s">
        <v>141</v>
      </c>
      <c r="AG53" s="385"/>
      <c r="AH53" s="385"/>
      <c r="AI53" s="386"/>
    </row>
    <row r="54" spans="1:41" customFormat="1" ht="23.25" hidden="1" thickBot="1" x14ac:dyDescent="0.3">
      <c r="F54" s="12"/>
      <c r="H54" s="50" t="s">
        <v>81</v>
      </c>
      <c r="I54" s="51" t="s">
        <v>82</v>
      </c>
      <c r="J54" s="51" t="s">
        <v>83</v>
      </c>
      <c r="K54" s="55" t="s">
        <v>84</v>
      </c>
      <c r="N54" s="50" t="s">
        <v>81</v>
      </c>
      <c r="O54" s="51" t="s">
        <v>82</v>
      </c>
      <c r="P54" s="51" t="s">
        <v>83</v>
      </c>
      <c r="Q54" s="55" t="s">
        <v>84</v>
      </c>
      <c r="T54" s="50" t="s">
        <v>81</v>
      </c>
      <c r="U54" s="51" t="s">
        <v>82</v>
      </c>
      <c r="V54" s="51" t="s">
        <v>83</v>
      </c>
      <c r="W54" s="55" t="s">
        <v>84</v>
      </c>
      <c r="Z54" s="50" t="s">
        <v>81</v>
      </c>
      <c r="AA54" s="51" t="s">
        <v>82</v>
      </c>
      <c r="AB54" s="51" t="s">
        <v>83</v>
      </c>
      <c r="AC54" s="55" t="s">
        <v>84</v>
      </c>
      <c r="AE54" s="101"/>
      <c r="AF54" s="50" t="s">
        <v>81</v>
      </c>
      <c r="AG54" s="51" t="s">
        <v>82</v>
      </c>
      <c r="AH54" s="51" t="s">
        <v>83</v>
      </c>
      <c r="AI54" s="55" t="s">
        <v>84</v>
      </c>
    </row>
    <row r="55" spans="1:41" customFormat="1" ht="6" hidden="1" customHeight="1" thickBot="1" x14ac:dyDescent="0.3">
      <c r="F55" s="12"/>
      <c r="AE55" s="101"/>
    </row>
    <row r="56" spans="1:41" customFormat="1" ht="16.5" hidden="1" thickTop="1" thickBot="1" x14ac:dyDescent="0.3">
      <c r="A56" s="121"/>
      <c r="B56" s="41">
        <f>A47</f>
        <v>42736</v>
      </c>
      <c r="C56" s="58">
        <f>L1</f>
        <v>41680</v>
      </c>
      <c r="D56" s="59">
        <f>E56/30.5</f>
        <v>34.622950819672134</v>
      </c>
      <c r="E56" s="60">
        <f>B56-C56</f>
        <v>1056</v>
      </c>
      <c r="F56" s="61"/>
      <c r="G56" s="61">
        <f>E56*3/2</f>
        <v>1584</v>
      </c>
      <c r="H56" s="62">
        <f>INT(D56*3/2/12)</f>
        <v>4</v>
      </c>
      <c r="I56" s="63">
        <f>INT(D56*3/2-(H56*12))</f>
        <v>3</v>
      </c>
      <c r="J56" s="64">
        <f>ROUND((D56*3/2-(H56*12)-I56)*30,0)</f>
        <v>28</v>
      </c>
      <c r="K56" s="86">
        <f>B56-G56</f>
        <v>41152</v>
      </c>
      <c r="L56" s="65"/>
      <c r="M56" s="66">
        <f>E56*5/4</f>
        <v>1320</v>
      </c>
      <c r="N56" s="62">
        <f>INT(D56*5/4/12)</f>
        <v>3</v>
      </c>
      <c r="O56" s="63">
        <f>INT(D56*5/4-(N56*12))</f>
        <v>7</v>
      </c>
      <c r="P56" s="64">
        <f>ROUND((D56*5/4-(N56*12)-O56)*30,0)</f>
        <v>8</v>
      </c>
      <c r="Q56" s="87">
        <f>B56-M56</f>
        <v>41416</v>
      </c>
      <c r="R56" s="65"/>
      <c r="S56" s="61">
        <f>E56*5/6</f>
        <v>880</v>
      </c>
      <c r="T56" s="62">
        <f>INT(D56*5/6/12)</f>
        <v>2</v>
      </c>
      <c r="U56" s="63">
        <f>INT(D56*5/6-(T56*12))</f>
        <v>4</v>
      </c>
      <c r="V56" s="64">
        <f>ROUND((D56*5/6-(T56*12)-U56)*30,0)</f>
        <v>26</v>
      </c>
      <c r="W56" s="87">
        <f>B56-S56</f>
        <v>41856</v>
      </c>
      <c r="X56" s="67"/>
      <c r="Y56" s="66">
        <f>E56*7/6</f>
        <v>1232</v>
      </c>
      <c r="Z56" s="62">
        <f>INT(D56*7/6/12)</f>
        <v>3</v>
      </c>
      <c r="AA56" s="63">
        <f>INT(D56*7/6-(Z56*12))</f>
        <v>4</v>
      </c>
      <c r="AB56" s="64">
        <f>ROUND((D56*7/6-(Z56*12)-AA56)*30,0)</f>
        <v>12</v>
      </c>
      <c r="AC56" s="87">
        <f>B56-Y56</f>
        <v>41504</v>
      </c>
      <c r="AE56" s="100">
        <f>E56*6/7</f>
        <v>905.14285714285711</v>
      </c>
      <c r="AF56" s="62">
        <f>INT(J56*7/6/12)</f>
        <v>2</v>
      </c>
      <c r="AG56" s="63">
        <f>INT(J56*7/6-(AF56*12))</f>
        <v>8</v>
      </c>
      <c r="AH56" s="64">
        <f>ROUND((J56*7/6-(AF56*12)-AG56)*30,0)</f>
        <v>20</v>
      </c>
      <c r="AI56" s="87">
        <f>B56-AE56</f>
        <v>41830.857142857145</v>
      </c>
    </row>
    <row r="57" spans="1:41" customFormat="1" hidden="1" x14ac:dyDescent="0.25">
      <c r="F57" s="12"/>
      <c r="AE57" s="101"/>
    </row>
    <row r="58" spans="1:41" customFormat="1" ht="15.75" hidden="1" thickBot="1" x14ac:dyDescent="0.3">
      <c r="F58" s="12"/>
      <c r="AE58" s="101"/>
    </row>
    <row r="59" spans="1:41" customFormat="1" ht="27.75" hidden="1" customHeight="1" x14ac:dyDescent="0.25">
      <c r="F59" s="12"/>
      <c r="H59" s="384" t="s">
        <v>92</v>
      </c>
      <c r="I59" s="385"/>
      <c r="J59" s="385"/>
      <c r="K59" s="386"/>
      <c r="N59" s="384" t="s">
        <v>93</v>
      </c>
      <c r="O59" s="385"/>
      <c r="P59" s="385"/>
      <c r="Q59" s="294"/>
      <c r="T59" s="384" t="s">
        <v>142</v>
      </c>
      <c r="U59" s="385"/>
      <c r="V59" s="385"/>
      <c r="W59" s="386"/>
      <c r="AE59" s="101"/>
    </row>
    <row r="60" spans="1:41" customFormat="1" ht="23.25" hidden="1" thickBot="1" x14ac:dyDescent="0.3">
      <c r="F60" s="12"/>
      <c r="H60" s="50" t="s">
        <v>81</v>
      </c>
      <c r="I60" s="51" t="s">
        <v>82</v>
      </c>
      <c r="J60" s="51" t="s">
        <v>83</v>
      </c>
      <c r="K60" s="55" t="s">
        <v>84</v>
      </c>
      <c r="N60" s="50" t="s">
        <v>81</v>
      </c>
      <c r="O60" s="51" t="s">
        <v>82</v>
      </c>
      <c r="P60" s="51" t="s">
        <v>83</v>
      </c>
      <c r="Q60" s="55" t="s">
        <v>84</v>
      </c>
      <c r="T60" s="50"/>
      <c r="U60" s="51"/>
      <c r="V60" s="51"/>
      <c r="W60" s="55"/>
      <c r="AE60" s="101"/>
    </row>
    <row r="61" spans="1:41" customFormat="1" ht="6" hidden="1" customHeight="1" thickBot="1" x14ac:dyDescent="0.3">
      <c r="F61" s="12"/>
      <c r="AE61" s="101"/>
    </row>
    <row r="62" spans="1:41" customFormat="1" ht="16.5" hidden="1" thickTop="1" thickBot="1" x14ac:dyDescent="0.3">
      <c r="A62" s="121"/>
      <c r="B62" s="41">
        <f>A47</f>
        <v>42736</v>
      </c>
      <c r="C62" s="58">
        <f>L1+(6*30.5)-1</f>
        <v>41862</v>
      </c>
      <c r="D62" s="59">
        <f>E62/30.5</f>
        <v>28.655737704918032</v>
      </c>
      <c r="E62" s="60">
        <f>B62-C62</f>
        <v>874</v>
      </c>
      <c r="F62" s="61"/>
      <c r="G62" s="61">
        <f>E62*2/3</f>
        <v>582.66666666666663</v>
      </c>
      <c r="H62" s="62">
        <f>INT(D62*2/3/12)</f>
        <v>1</v>
      </c>
      <c r="I62" s="63">
        <f>INT(D62*2/3-(H62*12))</f>
        <v>7</v>
      </c>
      <c r="J62" s="64">
        <f>ROUND((D62*2/3-(H62*12)-I62)*30,0)</f>
        <v>3</v>
      </c>
      <c r="K62" s="86">
        <f>B62-G62</f>
        <v>42153.333333333336</v>
      </c>
      <c r="L62" s="65"/>
      <c r="M62" s="66">
        <f>E62*4/3</f>
        <v>1165.3333333333333</v>
      </c>
      <c r="N62" s="62">
        <f>INT(D62*4/3/12)</f>
        <v>3</v>
      </c>
      <c r="O62" s="63">
        <f>INT(D62*4/3-(N62*12))</f>
        <v>2</v>
      </c>
      <c r="P62" s="64">
        <f>ROUND((D62*4/3-(N62*12)-O62)*30,0)</f>
        <v>6</v>
      </c>
      <c r="Q62" s="87">
        <f>B62-M62</f>
        <v>41570.666666666664</v>
      </c>
      <c r="R62" s="61"/>
      <c r="S62" s="61">
        <f>E50*1/3</f>
        <v>352</v>
      </c>
      <c r="T62" s="62">
        <f>INT(D50*1/3/12)</f>
        <v>0</v>
      </c>
      <c r="U62" s="63">
        <f>INT(D50*1/3-(T62*12))</f>
        <v>11</v>
      </c>
      <c r="V62" s="64">
        <f>ROUND((D50*1/3-(T62*12)-U62)*30,0)</f>
        <v>16</v>
      </c>
      <c r="W62" s="87">
        <f>B50-S62</f>
        <v>42384</v>
      </c>
      <c r="X62" s="67"/>
      <c r="Y62" s="66"/>
      <c r="Z62" s="70"/>
      <c r="AA62" s="70"/>
      <c r="AB62" s="73"/>
      <c r="AC62" s="67"/>
      <c r="AE62" s="101"/>
    </row>
    <row r="63" spans="1:41" customFormat="1" hidden="1" x14ac:dyDescent="0.25">
      <c r="F63" s="12"/>
      <c r="AE63" s="101"/>
    </row>
    <row r="64" spans="1:41" customFormat="1" ht="15.75" hidden="1" thickBot="1" x14ac:dyDescent="0.3">
      <c r="F64" s="12"/>
      <c r="AE64" s="101"/>
    </row>
    <row r="65" spans="1:31" customFormat="1" hidden="1" x14ac:dyDescent="0.25">
      <c r="F65" s="12"/>
      <c r="H65" s="384" t="s">
        <v>139</v>
      </c>
      <c r="I65" s="385"/>
      <c r="J65" s="385"/>
      <c r="K65" s="386"/>
      <c r="AE65" s="101"/>
    </row>
    <row r="66" spans="1:31" customFormat="1" ht="23.25" hidden="1" thickBot="1" x14ac:dyDescent="0.3">
      <c r="F66" s="12"/>
      <c r="H66" s="50" t="s">
        <v>81</v>
      </c>
      <c r="I66" s="51" t="s">
        <v>82</v>
      </c>
      <c r="J66" s="51" t="s">
        <v>83</v>
      </c>
      <c r="K66" s="55" t="s">
        <v>84</v>
      </c>
      <c r="AE66" s="101"/>
    </row>
    <row r="67" spans="1:31" customFormat="1" ht="15.75" hidden="1" thickBot="1" x14ac:dyDescent="0.3">
      <c r="F67" s="12"/>
      <c r="AE67" s="101"/>
    </row>
    <row r="68" spans="1:31" customFormat="1" ht="16.5" hidden="1" thickTop="1" thickBot="1" x14ac:dyDescent="0.3">
      <c r="B68" s="41">
        <f>A47</f>
        <v>42736</v>
      </c>
      <c r="C68" s="58">
        <f>L1+(12*30.5)-1</f>
        <v>42045</v>
      </c>
      <c r="D68" s="59">
        <f>E68/30.5</f>
        <v>22.655737704918032</v>
      </c>
      <c r="E68" s="60">
        <f>B68-C68</f>
        <v>691</v>
      </c>
      <c r="F68" s="12"/>
      <c r="G68" s="68">
        <f>E68</f>
        <v>691</v>
      </c>
      <c r="H68" s="62">
        <f>INT(D68*2/3/12)</f>
        <v>1</v>
      </c>
      <c r="I68" s="63">
        <f>INT(D68*2/3-(H68*12))</f>
        <v>3</v>
      </c>
      <c r="J68" s="64">
        <f>ROUND((D68*2/3-(H68*12)-I68)*30,0)</f>
        <v>3</v>
      </c>
      <c r="K68" s="86">
        <f>B68-G68</f>
        <v>42045</v>
      </c>
      <c r="AE68" s="101"/>
    </row>
    <row r="69" spans="1:31" customFormat="1" hidden="1" x14ac:dyDescent="0.25">
      <c r="F69" s="12"/>
      <c r="AE69" s="101"/>
    </row>
    <row r="70" spans="1:31" customFormat="1" ht="15.75" hidden="1" thickBot="1" x14ac:dyDescent="0.3">
      <c r="F70" s="12"/>
      <c r="AE70" s="101"/>
    </row>
    <row r="71" spans="1:31" customFormat="1" ht="15" hidden="1" customHeight="1" x14ac:dyDescent="0.25">
      <c r="F71" s="12"/>
      <c r="H71" s="384" t="s">
        <v>94</v>
      </c>
      <c r="I71" s="385"/>
      <c r="J71" s="385"/>
      <c r="K71" s="386"/>
      <c r="N71" s="384" t="s">
        <v>95</v>
      </c>
      <c r="O71" s="385"/>
      <c r="P71" s="385"/>
      <c r="Q71" s="294"/>
      <c r="AE71" s="101"/>
    </row>
    <row r="72" spans="1:31" customFormat="1" ht="23.25" hidden="1" thickBot="1" x14ac:dyDescent="0.3">
      <c r="F72" s="12"/>
      <c r="H72" s="50" t="s">
        <v>81</v>
      </c>
      <c r="I72" s="51" t="s">
        <v>82</v>
      </c>
      <c r="J72" s="51" t="s">
        <v>83</v>
      </c>
      <c r="K72" s="55" t="s">
        <v>84</v>
      </c>
      <c r="N72" s="50" t="s">
        <v>81</v>
      </c>
      <c r="O72" s="51" t="s">
        <v>82</v>
      </c>
      <c r="P72" s="51" t="s">
        <v>83</v>
      </c>
      <c r="Q72" s="55" t="s">
        <v>84</v>
      </c>
      <c r="AE72" s="101"/>
    </row>
    <row r="73" spans="1:31" customFormat="1" ht="15.75" hidden="1" thickBot="1" x14ac:dyDescent="0.3">
      <c r="F73" s="12"/>
      <c r="AE73" s="101"/>
    </row>
    <row r="74" spans="1:31" customFormat="1" ht="16.5" hidden="1" thickTop="1" thickBot="1" x14ac:dyDescent="0.3">
      <c r="A74" s="121"/>
      <c r="B74" s="41">
        <f>A47</f>
        <v>42736</v>
      </c>
      <c r="C74" s="58">
        <f>L1+(18*30.5)-1</f>
        <v>42228</v>
      </c>
      <c r="D74" s="59">
        <f>E74/30.5</f>
        <v>16.655737704918032</v>
      </c>
      <c r="E74" s="60">
        <f>B74-C74</f>
        <v>508</v>
      </c>
      <c r="F74" s="61"/>
      <c r="G74" s="61">
        <f>E74*5/3</f>
        <v>846.66666666666663</v>
      </c>
      <c r="H74" s="62">
        <f>INT(D74*5/3/12)</f>
        <v>2</v>
      </c>
      <c r="I74" s="63">
        <f>INT(D74*5/3-(H74*12))</f>
        <v>3</v>
      </c>
      <c r="J74" s="64">
        <f>ROUND((D74*5/3-(H74*12)-I74)*30,0)</f>
        <v>23</v>
      </c>
      <c r="K74" s="86">
        <f>B74-G74</f>
        <v>41889.333333333336</v>
      </c>
      <c r="L74" s="65"/>
      <c r="M74" s="66">
        <f>E74*8/3</f>
        <v>1354.6666666666667</v>
      </c>
      <c r="N74" s="62">
        <f>INT(D74*8/3/12)</f>
        <v>3</v>
      </c>
      <c r="O74" s="63">
        <f>INT(D74*8/3-(N74*12))</f>
        <v>8</v>
      </c>
      <c r="P74" s="64">
        <f>ROUND((D74*8/3-(N74*12)-O74)*30,0)</f>
        <v>12</v>
      </c>
      <c r="Q74" s="87">
        <f>B74-M74</f>
        <v>41381.333333333336</v>
      </c>
      <c r="R74" s="61"/>
      <c r="S74" s="61"/>
      <c r="T74" s="70"/>
      <c r="U74" s="70"/>
      <c r="V74" s="73"/>
      <c r="W74" s="67"/>
      <c r="X74" s="67"/>
      <c r="Y74" s="66"/>
      <c r="Z74" s="70"/>
      <c r="AA74" s="70"/>
      <c r="AB74" s="73"/>
      <c r="AC74" s="67"/>
      <c r="AE74" s="101"/>
    </row>
    <row r="75" spans="1:31" customFormat="1" hidden="1" x14ac:dyDescent="0.25">
      <c r="F75" s="12"/>
      <c r="AE75" s="101"/>
    </row>
    <row r="76" spans="1:31" customFormat="1" ht="15.75" hidden="1" thickBot="1" x14ac:dyDescent="0.3">
      <c r="F76" s="12"/>
      <c r="AE76" s="101"/>
    </row>
    <row r="77" spans="1:31" customFormat="1" ht="15" hidden="1" customHeight="1" x14ac:dyDescent="0.25">
      <c r="F77" s="12"/>
      <c r="H77" s="384" t="s">
        <v>96</v>
      </c>
      <c r="I77" s="385"/>
      <c r="J77" s="385"/>
      <c r="K77" s="386"/>
      <c r="N77" s="384" t="s">
        <v>140</v>
      </c>
      <c r="O77" s="385"/>
      <c r="P77" s="385"/>
      <c r="Q77" s="294"/>
      <c r="AE77" s="101"/>
    </row>
    <row r="78" spans="1:31" customFormat="1" ht="23.25" hidden="1" thickBot="1" x14ac:dyDescent="0.3">
      <c r="F78" s="12"/>
      <c r="H78" s="50" t="s">
        <v>81</v>
      </c>
      <c r="I78" s="51" t="s">
        <v>82</v>
      </c>
      <c r="J78" s="51" t="s">
        <v>83</v>
      </c>
      <c r="K78" s="55" t="s">
        <v>84</v>
      </c>
      <c r="N78" s="50" t="s">
        <v>81</v>
      </c>
      <c r="O78" s="51" t="s">
        <v>82</v>
      </c>
      <c r="P78" s="51" t="s">
        <v>83</v>
      </c>
      <c r="Q78" s="55" t="s">
        <v>84</v>
      </c>
      <c r="AE78" s="101"/>
    </row>
    <row r="79" spans="1:31" customFormat="1" ht="15.75" hidden="1" thickBot="1" x14ac:dyDescent="0.3">
      <c r="F79" s="12"/>
      <c r="AE79" s="101"/>
    </row>
    <row r="80" spans="1:31" customFormat="1" ht="16.5" hidden="1" thickTop="1" thickBot="1" x14ac:dyDescent="0.3">
      <c r="A80" s="121"/>
      <c r="B80" s="41">
        <f>A47</f>
        <v>42736</v>
      </c>
      <c r="C80" s="58">
        <f>L1+(24*30.5)-1</f>
        <v>42411</v>
      </c>
      <c r="D80" s="59">
        <f>E80/30.5</f>
        <v>10.655737704918034</v>
      </c>
      <c r="E80" s="60">
        <f>B80-C80</f>
        <v>325</v>
      </c>
      <c r="F80" s="61"/>
      <c r="G80" s="61">
        <f>E80*5/4</f>
        <v>406.25</v>
      </c>
      <c r="H80" s="62">
        <f>INT(D80*5/4/12)</f>
        <v>1</v>
      </c>
      <c r="I80" s="63">
        <f>INT(D80*5/4-(H80*12))</f>
        <v>1</v>
      </c>
      <c r="J80" s="64">
        <f>ROUND((D80*5/4-(H80*12)-I80)*30,0)</f>
        <v>10</v>
      </c>
      <c r="K80" s="86">
        <f>B80-G80</f>
        <v>42329.75</v>
      </c>
      <c r="L80" s="61"/>
      <c r="M80" s="68">
        <f>E80</f>
        <v>325</v>
      </c>
      <c r="N80" s="62">
        <f>INT(J80/12)</f>
        <v>0</v>
      </c>
      <c r="O80" s="63">
        <f>INT(J80-(N80*12))</f>
        <v>10</v>
      </c>
      <c r="P80" s="64">
        <f>ROUND((J80-(N80*12)-O80)*30,0)</f>
        <v>0</v>
      </c>
      <c r="Q80" s="86">
        <f>B80-M80</f>
        <v>42411</v>
      </c>
      <c r="R80" s="61"/>
      <c r="S80" s="61"/>
      <c r="T80" s="70"/>
      <c r="U80" s="70"/>
      <c r="V80" s="73"/>
      <c r="W80" s="67"/>
      <c r="X80" s="67"/>
      <c r="Y80" s="66"/>
      <c r="Z80" s="70"/>
      <c r="AA80" s="70"/>
      <c r="AB80" s="73"/>
      <c r="AC80" s="67"/>
      <c r="AE80" s="101"/>
    </row>
    <row r="81" spans="2:31" customFormat="1" hidden="1" x14ac:dyDescent="0.25">
      <c r="F81" s="12"/>
      <c r="AE81" s="101"/>
    </row>
    <row r="82" spans="2:31" customFormat="1" ht="15.75" hidden="1" thickBot="1" x14ac:dyDescent="0.3">
      <c r="AE82" s="101"/>
    </row>
    <row r="83" spans="2:31" customFormat="1" hidden="1" x14ac:dyDescent="0.25">
      <c r="F83" s="12"/>
      <c r="H83" s="384" t="s">
        <v>164</v>
      </c>
      <c r="I83" s="385"/>
      <c r="J83" s="385"/>
      <c r="K83" s="386"/>
      <c r="AE83" s="101"/>
    </row>
    <row r="84" spans="2:31" customFormat="1" ht="23.25" hidden="1" thickBot="1" x14ac:dyDescent="0.3">
      <c r="F84" s="12"/>
      <c r="H84" s="50" t="s">
        <v>81</v>
      </c>
      <c r="I84" s="51" t="s">
        <v>82</v>
      </c>
      <c r="J84" s="51" t="s">
        <v>83</v>
      </c>
      <c r="K84" s="55" t="s">
        <v>84</v>
      </c>
      <c r="AE84" s="101"/>
    </row>
    <row r="85" spans="2:31" customFormat="1" ht="15.75" hidden="1" thickBot="1" x14ac:dyDescent="0.3">
      <c r="F85" s="12"/>
      <c r="AE85" s="101"/>
    </row>
    <row r="86" spans="2:31" customFormat="1" ht="16.5" hidden="1" thickTop="1" thickBot="1" x14ac:dyDescent="0.3">
      <c r="B86" s="41">
        <f>A47</f>
        <v>42736</v>
      </c>
      <c r="C86" s="58">
        <f>L1+(36*30.5)-1</f>
        <v>42777</v>
      </c>
      <c r="D86" s="59">
        <f>E86/30.5</f>
        <v>-1.3442622950819672</v>
      </c>
      <c r="E86" s="60">
        <f>B86-C86</f>
        <v>-41</v>
      </c>
      <c r="F86" s="61"/>
      <c r="G86" s="61">
        <f>E86*3</f>
        <v>-123</v>
      </c>
      <c r="H86" s="62">
        <f>INT(D86*5/4/12)</f>
        <v>-1</v>
      </c>
      <c r="I86" s="63">
        <f>INT(D86*5/4-(H86*12))</f>
        <v>10</v>
      </c>
      <c r="J86" s="64">
        <f>ROUND((D86*5/4-(H86*12)-I86)*30,0)</f>
        <v>10</v>
      </c>
      <c r="K86" s="86">
        <f>B86-G86</f>
        <v>42859</v>
      </c>
      <c r="AE86" s="101"/>
    </row>
    <row r="87" spans="2:31" customFormat="1" hidden="1" x14ac:dyDescent="0.25">
      <c r="O87" s="36"/>
      <c r="AE87" s="101"/>
    </row>
  </sheetData>
  <sheetProtection password="EB30" sheet="1" objects="1" scenarios="1" selectLockedCells="1"/>
  <mergeCells count="31">
    <mergeCell ref="A47:B47"/>
    <mergeCell ref="C47:D47"/>
    <mergeCell ref="H47:K47"/>
    <mergeCell ref="H1:K1"/>
    <mergeCell ref="L1:P1"/>
    <mergeCell ref="B3:F3"/>
    <mergeCell ref="G4:L4"/>
    <mergeCell ref="O4:O7"/>
    <mergeCell ref="C6:D6"/>
    <mergeCell ref="J6:K6"/>
    <mergeCell ref="B1:E1"/>
    <mergeCell ref="AF47:AI47"/>
    <mergeCell ref="AL47:AO47"/>
    <mergeCell ref="H53:K53"/>
    <mergeCell ref="T53:W53"/>
    <mergeCell ref="Z53:AC53"/>
    <mergeCell ref="AF53:AI53"/>
    <mergeCell ref="T59:W59"/>
    <mergeCell ref="H65:K65"/>
    <mergeCell ref="H71:K71"/>
    <mergeCell ref="T47:W47"/>
    <mergeCell ref="Z47:AC47"/>
    <mergeCell ref="H77:K77"/>
    <mergeCell ref="H83:K83"/>
    <mergeCell ref="I10:I11"/>
    <mergeCell ref="N47:P47"/>
    <mergeCell ref="N53:P53"/>
    <mergeCell ref="N59:P59"/>
    <mergeCell ref="N71:P71"/>
    <mergeCell ref="N77:P77"/>
    <mergeCell ref="H59:K59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93"/>
  <sheetViews>
    <sheetView showGridLines="0" zoomScale="80" zoomScaleNormal="80" workbookViewId="0">
      <selection activeCell="L1" sqref="L1:O1"/>
    </sheetView>
  </sheetViews>
  <sheetFormatPr baseColWidth="10" defaultRowHeight="15" x14ac:dyDescent="0.25"/>
  <cols>
    <col min="1" max="2" width="11.42578125" style="36"/>
    <col min="3" max="3" width="16.42578125" style="36" customWidth="1"/>
    <col min="4" max="9" width="11.42578125" style="36"/>
    <col min="10" max="10" width="15.42578125" style="36" customWidth="1"/>
    <col min="11" max="11" width="11.42578125" style="307"/>
    <col min="12" max="12" width="11.42578125" style="36"/>
    <col min="13" max="13" width="11.42578125" style="36" customWidth="1"/>
    <col min="14" max="14" width="2.42578125" style="36" customWidth="1"/>
    <col min="15" max="15" width="22.85546875" style="36" customWidth="1"/>
    <col min="16" max="16" width="11.42578125" style="36"/>
    <col min="17" max="17" width="3.7109375" style="36" customWidth="1"/>
    <col min="18" max="18" width="19" style="36" customWidth="1"/>
    <col min="19" max="16384" width="11.42578125" style="36"/>
  </cols>
  <sheetData>
    <row r="1" spans="2:15" ht="27" thickBot="1" x14ac:dyDescent="0.4">
      <c r="B1" s="441" t="s">
        <v>232</v>
      </c>
      <c r="C1" s="441"/>
      <c r="D1" s="441"/>
      <c r="E1" s="441"/>
      <c r="F1" s="271"/>
      <c r="H1" s="348" t="s">
        <v>165</v>
      </c>
      <c r="I1" s="349"/>
      <c r="J1" s="349"/>
      <c r="K1" s="361"/>
      <c r="L1" s="362">
        <v>41680</v>
      </c>
      <c r="M1" s="363"/>
      <c r="N1" s="363"/>
      <c r="O1" s="363"/>
    </row>
    <row r="2" spans="2:15" ht="15.75" thickBot="1" x14ac:dyDescent="0.3">
      <c r="E2" s="35"/>
      <c r="I2" s="85"/>
    </row>
    <row r="3" spans="2:15" ht="29.25" thickBot="1" x14ac:dyDescent="0.3">
      <c r="B3" s="438" t="s">
        <v>231</v>
      </c>
      <c r="C3" s="439"/>
      <c r="D3" s="439"/>
      <c r="E3" s="439"/>
      <c r="F3" s="440"/>
      <c r="I3" s="85"/>
    </row>
    <row r="4" spans="2:15" ht="26.25" customHeight="1" x14ac:dyDescent="0.25">
      <c r="C4" s="85"/>
      <c r="F4" s="85"/>
      <c r="G4" s="251" t="s">
        <v>173</v>
      </c>
      <c r="H4" s="251"/>
      <c r="I4" s="251"/>
      <c r="J4" s="251"/>
      <c r="K4" s="251"/>
      <c r="L4" s="251"/>
      <c r="O4" s="358" t="s">
        <v>166</v>
      </c>
    </row>
    <row r="5" spans="2:15" ht="15" customHeight="1" x14ac:dyDescent="0.25">
      <c r="C5" s="85"/>
      <c r="F5" s="85"/>
      <c r="G5" s="92"/>
      <c r="K5" s="36"/>
      <c r="O5" s="359"/>
    </row>
    <row r="6" spans="2:15" ht="26.25" x14ac:dyDescent="0.4">
      <c r="C6" s="443">
        <v>2016</v>
      </c>
      <c r="D6" s="443"/>
      <c r="E6" s="443"/>
      <c r="G6" s="92"/>
      <c r="J6" s="442">
        <v>42736</v>
      </c>
      <c r="K6" s="442"/>
      <c r="O6" s="359"/>
    </row>
    <row r="7" spans="2:15" s="69" customFormat="1" ht="21.75" thickBot="1" x14ac:dyDescent="0.3">
      <c r="B7" s="143" t="s">
        <v>37</v>
      </c>
      <c r="C7" s="143" t="s">
        <v>38</v>
      </c>
      <c r="D7" s="308" t="s">
        <v>39</v>
      </c>
      <c r="E7" s="143" t="s">
        <v>40</v>
      </c>
      <c r="F7" s="296" t="s">
        <v>39</v>
      </c>
      <c r="G7" s="227"/>
      <c r="H7" s="36" t="s">
        <v>65</v>
      </c>
      <c r="I7" s="143" t="s">
        <v>37</v>
      </c>
      <c r="J7" s="143" t="s">
        <v>38</v>
      </c>
      <c r="K7" s="308" t="s">
        <v>39</v>
      </c>
      <c r="L7" s="143" t="s">
        <v>40</v>
      </c>
      <c r="M7" s="296" t="s">
        <v>39</v>
      </c>
      <c r="O7" s="360"/>
    </row>
    <row r="8" spans="2:15" s="69" customFormat="1" x14ac:dyDescent="0.25">
      <c r="B8" s="144"/>
      <c r="C8" s="144"/>
      <c r="D8" s="308" t="s">
        <v>41</v>
      </c>
      <c r="E8" s="143" t="s">
        <v>42</v>
      </c>
      <c r="F8" s="296" t="s">
        <v>43</v>
      </c>
      <c r="G8" s="309"/>
      <c r="H8" s="36"/>
      <c r="I8" s="144"/>
      <c r="J8" s="144"/>
      <c r="K8" s="308" t="s">
        <v>41</v>
      </c>
      <c r="L8" s="143" t="s">
        <v>42</v>
      </c>
      <c r="M8" s="296" t="s">
        <v>43</v>
      </c>
    </row>
    <row r="9" spans="2:15" ht="21" x14ac:dyDescent="0.25">
      <c r="B9" s="135">
        <v>1</v>
      </c>
      <c r="C9" s="135" t="s">
        <v>44</v>
      </c>
      <c r="D9" s="310">
        <f>LOOKUP(F9,'IB-IM et VP'!A:A,'IB-IM et VP'!C:C)</f>
        <v>395</v>
      </c>
      <c r="E9" s="188">
        <f>D9*'IB-IM et VP'!P3</f>
        <v>1839.9396249999998</v>
      </c>
      <c r="F9" s="135">
        <v>450</v>
      </c>
      <c r="G9" s="263" t="s">
        <v>57</v>
      </c>
      <c r="I9" s="135">
        <v>1</v>
      </c>
      <c r="J9" s="135" t="s">
        <v>44</v>
      </c>
      <c r="K9" s="310">
        <f>LOOKUP(M9,'IB-IM et VP'!A:A,'IB-IM et VP'!C:C)</f>
        <v>432</v>
      </c>
      <c r="L9" s="188">
        <f>K9*'IB-IM et VP'!P3</f>
        <v>2012.2883999999997</v>
      </c>
      <c r="M9" s="135">
        <v>501</v>
      </c>
      <c r="O9" s="198">
        <f>A44</f>
        <v>42736</v>
      </c>
    </row>
    <row r="10" spans="2:15" ht="21" x14ac:dyDescent="0.25">
      <c r="B10" s="135">
        <v>2</v>
      </c>
      <c r="C10" s="135" t="s">
        <v>44</v>
      </c>
      <c r="D10" s="310">
        <f>LOOKUP(F10,'IB-IM et VP'!A:A,'IB-IM et VP'!C:C)</f>
        <v>420</v>
      </c>
      <c r="E10" s="188">
        <f>D10*'IB-IM et VP'!P4</f>
        <v>1956.3914999999997</v>
      </c>
      <c r="F10" s="135">
        <v>486</v>
      </c>
      <c r="G10" s="263" t="s">
        <v>233</v>
      </c>
      <c r="I10" s="135">
        <v>1</v>
      </c>
      <c r="J10" s="311" t="s">
        <v>234</v>
      </c>
      <c r="K10" s="310">
        <f>LOOKUP(M10,'IB-IM et VP'!A:A,'IB-IM et VP'!C:C)</f>
        <v>432</v>
      </c>
      <c r="L10" s="188">
        <f>K10*'IB-IM et VP'!P4</f>
        <v>2012.2883999999997</v>
      </c>
      <c r="M10" s="135">
        <v>501</v>
      </c>
      <c r="N10" s="105"/>
      <c r="O10" s="195">
        <f>K53</f>
        <v>41152</v>
      </c>
    </row>
    <row r="11" spans="2:15" ht="21" x14ac:dyDescent="0.25">
      <c r="B11" s="135">
        <v>3</v>
      </c>
      <c r="C11" s="135" t="s">
        <v>45</v>
      </c>
      <c r="D11" s="310">
        <f>LOOKUP(F11,'IB-IM et VP'!A:A,'IB-IM et VP'!C:C)</f>
        <v>443</v>
      </c>
      <c r="E11" s="188">
        <f>D11*'IB-IM et VP'!P5</f>
        <v>2063.5272249999998</v>
      </c>
      <c r="F11" s="135">
        <v>515</v>
      </c>
      <c r="G11" s="263" t="s">
        <v>56</v>
      </c>
      <c r="I11" s="135">
        <v>2</v>
      </c>
      <c r="J11" s="135" t="s">
        <v>45</v>
      </c>
      <c r="K11" s="310">
        <f>LOOKUP(M11,'IB-IM et VP'!A:A,'IB-IM et VP'!C:C)</f>
        <v>453</v>
      </c>
      <c r="L11" s="188">
        <f>K11*'IB-IM et VP'!P5</f>
        <v>2110.1079749999999</v>
      </c>
      <c r="M11" s="135">
        <v>529</v>
      </c>
      <c r="O11" s="195">
        <f>L1</f>
        <v>41680</v>
      </c>
    </row>
    <row r="12" spans="2:15" ht="21" x14ac:dyDescent="0.25">
      <c r="B12" s="135">
        <v>4</v>
      </c>
      <c r="C12" s="135" t="s">
        <v>45</v>
      </c>
      <c r="D12" s="310">
        <f>LOOKUP(F12,'IB-IM et VP'!A:A,'IB-IM et VP'!C:C)</f>
        <v>469</v>
      </c>
      <c r="E12" s="188">
        <f>D12*'IB-IM et VP'!P6</f>
        <v>2184.6371749999998</v>
      </c>
      <c r="F12" s="135">
        <v>553</v>
      </c>
      <c r="G12" s="263" t="s">
        <v>56</v>
      </c>
      <c r="I12" s="135">
        <v>3</v>
      </c>
      <c r="J12" s="135" t="s">
        <v>45</v>
      </c>
      <c r="K12" s="310">
        <f>LOOKUP(M12,'IB-IM et VP'!A:A,'IB-IM et VP'!C:C)</f>
        <v>478</v>
      </c>
      <c r="L12" s="188">
        <f>K12*'IB-IM et VP'!P6</f>
        <v>2226.5598499999996</v>
      </c>
      <c r="M12" s="135">
        <v>565</v>
      </c>
      <c r="N12" s="105"/>
      <c r="O12" s="195">
        <f>L1</f>
        <v>41680</v>
      </c>
    </row>
    <row r="13" spans="2:15" ht="21" x14ac:dyDescent="0.25">
      <c r="B13" s="135">
        <v>5</v>
      </c>
      <c r="C13" s="135" t="s">
        <v>45</v>
      </c>
      <c r="D13" s="310">
        <f>LOOKUP(F13,'IB-IM et VP'!A:A,'IB-IM et VP'!C:C)</f>
        <v>486</v>
      </c>
      <c r="E13" s="188">
        <f>D13*'IB-IM et VP'!P7</f>
        <v>2263.8244499999996</v>
      </c>
      <c r="F13" s="135">
        <v>575</v>
      </c>
      <c r="G13" s="263" t="s">
        <v>56</v>
      </c>
      <c r="I13" s="135">
        <v>4</v>
      </c>
      <c r="J13" s="135" t="s">
        <v>45</v>
      </c>
      <c r="K13" s="310">
        <f>LOOKUP(M13,'IB-IM et VP'!A:A,'IB-IM et VP'!C:C)</f>
        <v>497</v>
      </c>
      <c r="L13" s="188">
        <f>K13*'IB-IM et VP'!P7</f>
        <v>2315.0632749999995</v>
      </c>
      <c r="M13" s="135">
        <v>589</v>
      </c>
      <c r="O13" s="195">
        <f>L1</f>
        <v>41680</v>
      </c>
    </row>
    <row r="14" spans="2:15" ht="21" x14ac:dyDescent="0.25">
      <c r="B14" s="135">
        <v>6</v>
      </c>
      <c r="C14" s="135" t="s">
        <v>46</v>
      </c>
      <c r="D14" s="310">
        <f>LOOKUP(F14,'IB-IM et VP'!A:A,'IB-IM et VP'!C:C)</f>
        <v>509</v>
      </c>
      <c r="E14" s="188">
        <f>D14*'IB-IM et VP'!P8</f>
        <v>2370.9601749999997</v>
      </c>
      <c r="F14" s="135">
        <v>605</v>
      </c>
      <c r="G14" s="263" t="s">
        <v>56</v>
      </c>
      <c r="I14" s="135">
        <v>5</v>
      </c>
      <c r="J14" s="135" t="s">
        <v>46</v>
      </c>
      <c r="K14" s="310">
        <f>LOOKUP(M14,'IB-IM et VP'!A:A,'IB-IM et VP'!C:C)</f>
        <v>519</v>
      </c>
      <c r="L14" s="188">
        <f>K14*'IB-IM et VP'!P8</f>
        <v>2417.5409249999998</v>
      </c>
      <c r="M14" s="135">
        <v>619</v>
      </c>
      <c r="N14" s="105"/>
      <c r="O14" s="195">
        <f>L1</f>
        <v>41680</v>
      </c>
    </row>
    <row r="15" spans="2:15" ht="21" x14ac:dyDescent="0.25">
      <c r="B15" s="135">
        <v>7</v>
      </c>
      <c r="C15" s="135" t="s">
        <v>46</v>
      </c>
      <c r="D15" s="310">
        <f>LOOKUP(F15,'IB-IM et VP'!A:A,'IB-IM et VP'!C:C)</f>
        <v>535</v>
      </c>
      <c r="E15" s="188">
        <f>D15*'IB-IM et VP'!P9</f>
        <v>2492.0701249999997</v>
      </c>
      <c r="F15" s="135">
        <v>640</v>
      </c>
      <c r="G15" s="263" t="s">
        <v>56</v>
      </c>
      <c r="I15" s="135">
        <v>6</v>
      </c>
      <c r="J15" s="135" t="s">
        <v>46</v>
      </c>
      <c r="K15" s="310">
        <f>LOOKUP(M15,'IB-IM et VP'!A:A,'IB-IM et VP'!C:C)</f>
        <v>543</v>
      </c>
      <c r="L15" s="188">
        <f>K15*'IB-IM et VP'!P9</f>
        <v>2529.3347249999997</v>
      </c>
      <c r="M15" s="135">
        <v>650</v>
      </c>
      <c r="O15" s="195">
        <f>L1</f>
        <v>41680</v>
      </c>
    </row>
    <row r="16" spans="2:15" ht="21" x14ac:dyDescent="0.25">
      <c r="B16" s="135">
        <v>8</v>
      </c>
      <c r="C16" s="135" t="s">
        <v>46</v>
      </c>
      <c r="D16" s="310">
        <f>LOOKUP(F16,'IB-IM et VP'!A:A,'IB-IM et VP'!C:C)</f>
        <v>566</v>
      </c>
      <c r="E16" s="188">
        <f>D16*'IB-IM et VP'!P10</f>
        <v>2636.4704499999998</v>
      </c>
      <c r="F16" s="135">
        <v>680</v>
      </c>
      <c r="G16" s="263" t="s">
        <v>56</v>
      </c>
      <c r="I16" s="135">
        <v>7</v>
      </c>
      <c r="J16" s="135" t="s">
        <v>46</v>
      </c>
      <c r="K16" s="310">
        <f>LOOKUP(M16,'IB-IM et VP'!A:A,'IB-IM et VP'!C:C)</f>
        <v>573</v>
      </c>
      <c r="L16" s="188">
        <f>K16*'IB-IM et VP'!P10</f>
        <v>2669.0769749999995</v>
      </c>
      <c r="M16" s="135">
        <v>690</v>
      </c>
      <c r="N16" s="105"/>
      <c r="O16" s="195">
        <f>L1</f>
        <v>41680</v>
      </c>
    </row>
    <row r="17" spans="2:15" ht="21" x14ac:dyDescent="0.25">
      <c r="B17" s="135">
        <v>9</v>
      </c>
      <c r="C17" s="135" t="s">
        <v>47</v>
      </c>
      <c r="D17" s="310">
        <f>LOOKUP(F17,'IB-IM et VP'!A:A,'IB-IM et VP'!C:C)</f>
        <v>604</v>
      </c>
      <c r="E17" s="188">
        <f>D17*'IB-IM et VP'!P11</f>
        <v>2813.4772999999996</v>
      </c>
      <c r="F17" s="135">
        <v>730</v>
      </c>
      <c r="G17" s="263" t="s">
        <v>56</v>
      </c>
      <c r="I17" s="135">
        <v>8</v>
      </c>
      <c r="J17" s="135" t="s">
        <v>47</v>
      </c>
      <c r="K17" s="310">
        <f>LOOKUP(M17,'IB-IM et VP'!A:A,'IB-IM et VP'!C:C)</f>
        <v>611</v>
      </c>
      <c r="L17" s="188">
        <f>K17*'IB-IM et VP'!P11</f>
        <v>2846.0838249999997</v>
      </c>
      <c r="M17" s="135">
        <v>740</v>
      </c>
      <c r="O17" s="195">
        <f>L1</f>
        <v>41680</v>
      </c>
    </row>
    <row r="18" spans="2:15" ht="21" x14ac:dyDescent="0.25">
      <c r="B18" s="135">
        <v>10</v>
      </c>
      <c r="C18" s="135" t="s">
        <v>47</v>
      </c>
      <c r="D18" s="310">
        <f>LOOKUP(F18,'IB-IM et VP'!A:A,'IB-IM et VP'!C:C)</f>
        <v>638</v>
      </c>
      <c r="E18" s="188">
        <f>D18*'IB-IM et VP'!P12</f>
        <v>2971.8518499999996</v>
      </c>
      <c r="F18" s="135">
        <v>775</v>
      </c>
      <c r="G18" s="263" t="s">
        <v>56</v>
      </c>
      <c r="I18" s="135">
        <v>9</v>
      </c>
      <c r="J18" s="135" t="s">
        <v>47</v>
      </c>
      <c r="K18" s="310">
        <f>LOOKUP(M18,'IB-IM et VP'!A:A,'IB-IM et VP'!C:C)</f>
        <v>646</v>
      </c>
      <c r="L18" s="188">
        <f>K18*'IB-IM et VP'!P12</f>
        <v>3009.1164499999995</v>
      </c>
      <c r="M18" s="135">
        <v>785</v>
      </c>
      <c r="N18" s="105"/>
      <c r="O18" s="195">
        <f>L1</f>
        <v>41680</v>
      </c>
    </row>
    <row r="19" spans="2:15" ht="21" x14ac:dyDescent="0.25">
      <c r="B19" s="135">
        <v>11</v>
      </c>
      <c r="C19" s="135"/>
      <c r="D19" s="310">
        <f>LOOKUP(F19,'IB-IM et VP'!A:A,'IB-IM et VP'!C:C)</f>
        <v>680</v>
      </c>
      <c r="E19" s="188">
        <f>D19*'IB-IM et VP'!P13</f>
        <v>3167.4909999999995</v>
      </c>
      <c r="F19" s="135">
        <v>830</v>
      </c>
      <c r="G19" s="263" t="s">
        <v>56</v>
      </c>
      <c r="I19" s="135">
        <v>10</v>
      </c>
      <c r="J19" s="312"/>
      <c r="K19" s="310">
        <f>LOOKUP(M19,'IB-IM et VP'!A:A,'IB-IM et VP'!C:C)</f>
        <v>688</v>
      </c>
      <c r="L19" s="188">
        <f>K19*'IB-IM et VP'!P13</f>
        <v>3204.7555999999995</v>
      </c>
      <c r="M19" s="135">
        <v>841</v>
      </c>
      <c r="O19" s="195">
        <f>L1</f>
        <v>41680</v>
      </c>
    </row>
    <row r="20" spans="2:15" ht="21" x14ac:dyDescent="0.25">
      <c r="B20" s="142"/>
      <c r="C20" s="142"/>
      <c r="D20" s="313"/>
      <c r="E20" s="142"/>
      <c r="F20" s="314"/>
      <c r="G20" s="263"/>
      <c r="I20" s="142"/>
      <c r="J20" s="142"/>
      <c r="K20" s="313"/>
      <c r="L20" s="142"/>
      <c r="M20" s="314"/>
      <c r="N20" s="214"/>
      <c r="O20" s="307"/>
    </row>
    <row r="21" spans="2:15" ht="21" x14ac:dyDescent="0.25">
      <c r="B21" s="142"/>
      <c r="C21" s="142"/>
      <c r="D21" s="313"/>
      <c r="E21" s="142"/>
      <c r="F21" s="314"/>
      <c r="G21" s="263"/>
      <c r="H21" s="36" t="s">
        <v>48</v>
      </c>
      <c r="I21" s="142"/>
      <c r="J21" s="142"/>
      <c r="K21" s="313"/>
      <c r="L21" s="142"/>
      <c r="M21" s="142"/>
      <c r="N21" s="316"/>
      <c r="O21" s="221"/>
    </row>
    <row r="22" spans="2:15" ht="21" x14ac:dyDescent="0.25">
      <c r="B22" s="143" t="s">
        <v>37</v>
      </c>
      <c r="C22" s="143" t="s">
        <v>38</v>
      </c>
      <c r="D22" s="308" t="s">
        <v>39</v>
      </c>
      <c r="E22" s="143" t="s">
        <v>40</v>
      </c>
      <c r="F22" s="296" t="s">
        <v>39</v>
      </c>
      <c r="G22" s="320"/>
      <c r="I22" s="143" t="s">
        <v>37</v>
      </c>
      <c r="J22" s="143" t="s">
        <v>38</v>
      </c>
      <c r="K22" s="308"/>
      <c r="L22" s="143"/>
      <c r="M22" s="296" t="s">
        <v>39</v>
      </c>
      <c r="O22" s="221"/>
    </row>
    <row r="23" spans="2:15" ht="21" x14ac:dyDescent="0.25">
      <c r="B23" s="144"/>
      <c r="C23" s="144"/>
      <c r="D23" s="308" t="s">
        <v>41</v>
      </c>
      <c r="E23" s="143" t="s">
        <v>42</v>
      </c>
      <c r="F23" s="296" t="s">
        <v>43</v>
      </c>
      <c r="G23" s="320"/>
      <c r="I23" s="144"/>
      <c r="J23" s="144"/>
      <c r="K23" s="308"/>
      <c r="L23" s="143"/>
      <c r="M23" s="296" t="s">
        <v>43</v>
      </c>
      <c r="O23" s="221"/>
    </row>
    <row r="24" spans="2:15" ht="21" x14ac:dyDescent="0.25">
      <c r="B24" s="135">
        <v>1</v>
      </c>
      <c r="C24" s="135" t="s">
        <v>44</v>
      </c>
      <c r="D24" s="310">
        <f>LOOKUP(F24,'IB-IM et VP'!A:A,'IB-IM et VP'!C:C)</f>
        <v>520</v>
      </c>
      <c r="E24" s="188">
        <f>D24*'IB-IM et VP'!P18</f>
        <v>2422.1989999999996</v>
      </c>
      <c r="F24" s="135">
        <v>620</v>
      </c>
      <c r="G24" s="263" t="s">
        <v>233</v>
      </c>
      <c r="I24" s="135">
        <v>1</v>
      </c>
      <c r="J24" s="311" t="s">
        <v>234</v>
      </c>
      <c r="K24" s="310">
        <f>LOOKUP(M24,'IB-IM et VP'!A:A,'IB-IM et VP'!C:C)</f>
        <v>529</v>
      </c>
      <c r="L24" s="188">
        <f>K24*'IB-IM et VP'!P18</f>
        <v>2464.1216749999994</v>
      </c>
      <c r="M24" s="135">
        <v>631</v>
      </c>
      <c r="O24" s="195">
        <f>K53</f>
        <v>41152</v>
      </c>
    </row>
    <row r="25" spans="2:15" s="69" customFormat="1" ht="21" x14ac:dyDescent="0.25">
      <c r="B25" s="135">
        <v>2</v>
      </c>
      <c r="C25" s="135" t="s">
        <v>45</v>
      </c>
      <c r="D25" s="310">
        <f>LOOKUP(F25,'IB-IM et VP'!A:A,'IB-IM et VP'!C:C)</f>
        <v>549</v>
      </c>
      <c r="E25" s="188">
        <f>D25*'IB-IM et VP'!P19</f>
        <v>2557.2831749999996</v>
      </c>
      <c r="F25" s="135">
        <v>658</v>
      </c>
      <c r="G25" s="263" t="s">
        <v>56</v>
      </c>
      <c r="H25" s="36"/>
      <c r="I25" s="135">
        <v>2</v>
      </c>
      <c r="J25" s="135" t="s">
        <v>45</v>
      </c>
      <c r="K25" s="310">
        <f>LOOKUP(M25,'IB-IM et VP'!A:A,'IB-IM et VP'!C:C)</f>
        <v>558</v>
      </c>
      <c r="L25" s="188">
        <f>K25*'IB-IM et VP'!P19</f>
        <v>2599.2058499999998</v>
      </c>
      <c r="M25" s="135">
        <v>669</v>
      </c>
      <c r="O25" s="198">
        <f>L1-365</f>
        <v>41315</v>
      </c>
    </row>
    <row r="26" spans="2:15" s="69" customFormat="1" ht="21" x14ac:dyDescent="0.25">
      <c r="B26" s="135">
        <v>3</v>
      </c>
      <c r="C26" s="135" t="s">
        <v>46</v>
      </c>
      <c r="D26" s="310">
        <f>LOOKUP(F26,'IB-IM et VP'!A:A,'IB-IM et VP'!C:C)</f>
        <v>581</v>
      </c>
      <c r="E26" s="188">
        <f>D26*'IB-IM et VP'!P20</f>
        <v>2706.3415749999995</v>
      </c>
      <c r="F26" s="135">
        <v>700</v>
      </c>
      <c r="G26" s="263" t="s">
        <v>56</v>
      </c>
      <c r="H26" s="36"/>
      <c r="I26" s="135">
        <v>3</v>
      </c>
      <c r="J26" s="135" t="s">
        <v>46</v>
      </c>
      <c r="K26" s="310">
        <f>LOOKUP(M26,'IB-IM et VP'!A:A,'IB-IM et VP'!C:C)</f>
        <v>590</v>
      </c>
      <c r="L26" s="188">
        <f>K26*'IB-IM et VP'!P20</f>
        <v>2748.2642499999997</v>
      </c>
      <c r="M26" s="135">
        <v>712</v>
      </c>
      <c r="O26" s="195">
        <f>L1</f>
        <v>41680</v>
      </c>
    </row>
    <row r="27" spans="2:15" ht="21" x14ac:dyDescent="0.25">
      <c r="B27" s="135">
        <v>4</v>
      </c>
      <c r="C27" s="135" t="s">
        <v>46</v>
      </c>
      <c r="D27" s="310">
        <f>LOOKUP(F27,'IB-IM et VP'!A:A,'IB-IM et VP'!C:C)</f>
        <v>611</v>
      </c>
      <c r="E27" s="188">
        <f>D27*'IB-IM et VP'!P21</f>
        <v>2846.0838249999997</v>
      </c>
      <c r="F27" s="135">
        <v>740</v>
      </c>
      <c r="G27" s="263" t="s">
        <v>56</v>
      </c>
      <c r="I27" s="135">
        <v>4</v>
      </c>
      <c r="J27" s="135" t="s">
        <v>46</v>
      </c>
      <c r="K27" s="310">
        <f>LOOKUP(M27,'IB-IM et VP'!A:A,'IB-IM et VP'!C:C)</f>
        <v>619</v>
      </c>
      <c r="L27" s="188">
        <f>K27*'IB-IM et VP'!P21</f>
        <v>2883.3484249999997</v>
      </c>
      <c r="M27" s="135">
        <v>750</v>
      </c>
      <c r="O27" s="198">
        <f>L1</f>
        <v>41680</v>
      </c>
    </row>
    <row r="28" spans="2:15" ht="21" x14ac:dyDescent="0.25">
      <c r="B28" s="135">
        <v>5</v>
      </c>
      <c r="C28" s="135" t="s">
        <v>46</v>
      </c>
      <c r="D28" s="310">
        <f>LOOKUP(F28,'IB-IM et VP'!A:A,'IB-IM et VP'!C:C)</f>
        <v>648</v>
      </c>
      <c r="E28" s="188">
        <f>D28*'IB-IM et VP'!P22</f>
        <v>3018.4325999999996</v>
      </c>
      <c r="F28" s="135">
        <v>788</v>
      </c>
      <c r="G28" s="263" t="s">
        <v>56</v>
      </c>
      <c r="I28" s="135">
        <v>5</v>
      </c>
      <c r="J28" s="135" t="s">
        <v>46</v>
      </c>
      <c r="K28" s="310">
        <f>LOOKUP(M28,'IB-IM et VP'!A:A,'IB-IM et VP'!C:C)</f>
        <v>656</v>
      </c>
      <c r="L28" s="188">
        <f>K28*'IB-IM et VP'!P22</f>
        <v>3055.6971999999996</v>
      </c>
      <c r="M28" s="135">
        <v>799</v>
      </c>
      <c r="N28" s="105"/>
      <c r="O28" s="195">
        <f>L1</f>
        <v>41680</v>
      </c>
    </row>
    <row r="29" spans="2:15" ht="21" x14ac:dyDescent="0.25">
      <c r="B29" s="135">
        <v>6</v>
      </c>
      <c r="C29" s="135" t="s">
        <v>46</v>
      </c>
      <c r="D29" s="310">
        <f>LOOKUP(F29,'IB-IM et VP'!A:A,'IB-IM et VP'!C:C)</f>
        <v>682</v>
      </c>
      <c r="E29" s="188">
        <f>D29*'IB-IM et VP'!P23</f>
        <v>3176.8071499999996</v>
      </c>
      <c r="F29" s="135">
        <v>833</v>
      </c>
      <c r="G29" s="263" t="s">
        <v>56</v>
      </c>
      <c r="I29" s="135">
        <v>6</v>
      </c>
      <c r="J29" s="135" t="s">
        <v>46</v>
      </c>
      <c r="K29" s="310">
        <f>LOOKUP(M29,'IB-IM et VP'!A:A,'IB-IM et VP'!C:C)</f>
        <v>690</v>
      </c>
      <c r="L29" s="188">
        <f>K29*'IB-IM et VP'!P23</f>
        <v>3214.0717499999996</v>
      </c>
      <c r="M29" s="135">
        <v>843</v>
      </c>
      <c r="O29" s="198">
        <f>L1</f>
        <v>41680</v>
      </c>
    </row>
    <row r="30" spans="2:15" ht="21" x14ac:dyDescent="0.25">
      <c r="B30" s="135">
        <v>7</v>
      </c>
      <c r="C30" s="135" t="s">
        <v>47</v>
      </c>
      <c r="D30" s="310">
        <f>LOOKUP(F30,'IB-IM et VP'!A:A,'IB-IM et VP'!C:C)</f>
        <v>709</v>
      </c>
      <c r="E30" s="188">
        <f>D30*'IB-IM et VP'!P24</f>
        <v>3302.5751749999995</v>
      </c>
      <c r="F30" s="135">
        <v>868</v>
      </c>
      <c r="G30" s="263" t="s">
        <v>56</v>
      </c>
      <c r="I30" s="135">
        <v>7</v>
      </c>
      <c r="J30" s="135" t="s">
        <v>47</v>
      </c>
      <c r="K30" s="310">
        <f>LOOKUP(M30,'IB-IM et VP'!A:A,'IB-IM et VP'!C:C)</f>
        <v>718</v>
      </c>
      <c r="L30" s="188">
        <f>K30*'IB-IM et VP'!P24</f>
        <v>3344.4978499999993</v>
      </c>
      <c r="M30" s="135">
        <v>880</v>
      </c>
      <c r="N30" s="105"/>
      <c r="O30" s="195">
        <f>L1</f>
        <v>41680</v>
      </c>
    </row>
    <row r="31" spans="2:15" ht="21" customHeight="1" x14ac:dyDescent="0.25">
      <c r="B31" s="135">
        <v>8</v>
      </c>
      <c r="C31" s="135" t="s">
        <v>47</v>
      </c>
      <c r="D31" s="310">
        <f>LOOKUP(F31,'IB-IM et VP'!A:A,'IB-IM et VP'!C:C)</f>
        <v>746</v>
      </c>
      <c r="E31" s="188">
        <f>D31*'IB-IM et VP'!P25</f>
        <v>3474.9239499999994</v>
      </c>
      <c r="F31" s="135">
        <v>916</v>
      </c>
      <c r="G31" s="263" t="s">
        <v>56</v>
      </c>
      <c r="I31" s="135">
        <v>8</v>
      </c>
      <c r="J31" s="135" t="s">
        <v>47</v>
      </c>
      <c r="K31" s="310">
        <f>LOOKUP(M31,'IB-IM et VP'!A:A,'IB-IM et VP'!C:C)</f>
        <v>755</v>
      </c>
      <c r="L31" s="188">
        <f>K31*'IB-IM et VP'!P25</f>
        <v>3516.8466249999997</v>
      </c>
      <c r="M31" s="135">
        <v>929</v>
      </c>
      <c r="O31" s="198">
        <f>L1</f>
        <v>41680</v>
      </c>
    </row>
    <row r="32" spans="2:15" ht="21" customHeight="1" x14ac:dyDescent="0.25">
      <c r="B32" s="135">
        <v>9</v>
      </c>
      <c r="C32" s="135"/>
      <c r="D32" s="310">
        <f>LOOKUP(F32,'IB-IM et VP'!A:A,'IB-IM et VP'!C:C)</f>
        <v>783</v>
      </c>
      <c r="E32" s="188">
        <f>D32*'IB-IM et VP'!P26</f>
        <v>3647.2727249999994</v>
      </c>
      <c r="F32" s="135">
        <v>966</v>
      </c>
      <c r="G32" s="263" t="s">
        <v>56</v>
      </c>
      <c r="I32" s="135">
        <v>9</v>
      </c>
      <c r="J32" s="135"/>
      <c r="K32" s="310">
        <f>LOOKUP(M32,'IB-IM et VP'!A:A,'IB-IM et VP'!C:C)</f>
        <v>793</v>
      </c>
      <c r="L32" s="188">
        <f>K32*'IB-IM et VP'!P26</f>
        <v>3693.8534749999994</v>
      </c>
      <c r="M32" s="177">
        <v>979</v>
      </c>
      <c r="N32" s="105"/>
      <c r="O32" s="195">
        <f>L1</f>
        <v>41680</v>
      </c>
    </row>
    <row r="33" spans="1:40" x14ac:dyDescent="0.25">
      <c r="A33" s="142"/>
      <c r="B33" s="142"/>
      <c r="C33" s="313"/>
      <c r="D33" s="315"/>
      <c r="E33" s="142"/>
      <c r="F33" s="142"/>
      <c r="H33" s="142"/>
      <c r="I33" s="142"/>
      <c r="J33" s="313"/>
      <c r="K33" s="315"/>
      <c r="L33" s="142"/>
      <c r="M33" s="298"/>
    </row>
    <row r="34" spans="1:40" x14ac:dyDescent="0.25">
      <c r="G34" s="307"/>
      <c r="H34" s="35"/>
      <c r="I34" s="39"/>
      <c r="J34" s="39"/>
      <c r="K34" s="39"/>
      <c r="L34" s="39"/>
    </row>
    <row r="35" spans="1:40" ht="21" x14ac:dyDescent="0.35">
      <c r="B35" s="69"/>
      <c r="C35" s="69"/>
      <c r="D35" s="69"/>
      <c r="E35" s="69"/>
      <c r="F35" s="69"/>
      <c r="G35" s="83"/>
      <c r="H35" s="300"/>
      <c r="I35" s="301"/>
      <c r="J35" s="301"/>
      <c r="K35" s="301"/>
      <c r="L35" s="302"/>
      <c r="M35" s="69"/>
      <c r="N35" s="218"/>
    </row>
    <row r="36" spans="1:40" ht="21" x14ac:dyDescent="0.35">
      <c r="B36" s="69"/>
      <c r="C36" s="69"/>
      <c r="D36" s="69"/>
      <c r="E36" s="69"/>
      <c r="F36" s="69"/>
      <c r="G36" s="83"/>
      <c r="H36" s="300"/>
      <c r="I36" s="301"/>
      <c r="J36" s="301"/>
      <c r="K36" s="301"/>
      <c r="L36" s="302"/>
      <c r="M36" s="69"/>
      <c r="N36" s="218"/>
    </row>
    <row r="37" spans="1:40" ht="21" x14ac:dyDescent="0.35">
      <c r="B37" s="69"/>
      <c r="C37" s="69"/>
      <c r="D37" s="69"/>
      <c r="E37" s="69"/>
      <c r="F37" s="69"/>
      <c r="G37" s="83"/>
      <c r="H37" s="300"/>
      <c r="I37" s="301"/>
      <c r="J37" s="301"/>
      <c r="K37" s="301"/>
      <c r="L37" s="302"/>
      <c r="M37" s="69"/>
      <c r="N37" s="218"/>
    </row>
    <row r="38" spans="1:40" ht="21" x14ac:dyDescent="0.35">
      <c r="B38" s="303"/>
      <c r="C38" s="140"/>
      <c r="D38" s="131"/>
      <c r="E38" s="304"/>
      <c r="F38" s="131"/>
      <c r="G38" s="305"/>
      <c r="H38" s="140"/>
      <c r="I38" s="303"/>
      <c r="J38" s="131"/>
      <c r="K38" s="131"/>
      <c r="L38" s="304"/>
      <c r="M38" s="69"/>
      <c r="N38" s="69"/>
    </row>
    <row r="39" spans="1:40" ht="21" x14ac:dyDescent="0.35">
      <c r="B39" s="140"/>
      <c r="C39" s="140"/>
      <c r="D39" s="140"/>
      <c r="E39" s="140"/>
      <c r="F39" s="140"/>
      <c r="G39" s="142"/>
      <c r="H39" s="140"/>
      <c r="I39" s="303"/>
      <c r="J39" s="131"/>
      <c r="K39" s="131"/>
      <c r="L39" s="304"/>
      <c r="M39" s="69"/>
      <c r="N39" s="69"/>
    </row>
    <row r="40" spans="1:40" x14ac:dyDescent="0.25">
      <c r="B40" s="124"/>
      <c r="C40" s="124"/>
      <c r="D40" s="124"/>
      <c r="E40" s="124"/>
      <c r="F40" s="124"/>
      <c r="G40" s="136"/>
      <c r="H40" s="124"/>
      <c r="I40" s="124"/>
      <c r="J40" s="124"/>
      <c r="K40" s="124"/>
      <c r="L40" s="124"/>
    </row>
    <row r="41" spans="1:40" x14ac:dyDescent="0.25">
      <c r="G41" s="307"/>
      <c r="K41" s="36"/>
    </row>
    <row r="42" spans="1:40" hidden="1" x14ac:dyDescent="0.25">
      <c r="N42"/>
    </row>
    <row r="43" spans="1:40" customFormat="1" ht="15.75" hidden="1" thickBot="1" x14ac:dyDescent="0.3">
      <c r="N43" s="36"/>
      <c r="AD43" s="101"/>
    </row>
    <row r="44" spans="1:40" s="40" customFormat="1" ht="15" hidden="1" customHeight="1" thickBot="1" x14ac:dyDescent="0.3">
      <c r="A44" s="377">
        <v>42736</v>
      </c>
      <c r="B44" s="378"/>
      <c r="C44" s="379"/>
      <c r="D44" s="380"/>
      <c r="E44" s="42"/>
      <c r="F44" s="43"/>
      <c r="G44" s="43"/>
      <c r="H44" s="435" t="s">
        <v>228</v>
      </c>
      <c r="I44" s="436"/>
      <c r="J44" s="436"/>
      <c r="K44" s="437"/>
      <c r="L44" s="44"/>
      <c r="M44" s="433" t="s">
        <v>229</v>
      </c>
      <c r="N44" s="434"/>
      <c r="O44" s="434"/>
      <c r="P44" s="306"/>
      <c r="Q44" s="44"/>
      <c r="R44" s="45"/>
      <c r="S44" s="384" t="s">
        <v>77</v>
      </c>
      <c r="T44" s="385"/>
      <c r="U44" s="385"/>
      <c r="V44" s="386"/>
      <c r="W44" s="46"/>
      <c r="X44" s="45"/>
      <c r="Y44" s="384" t="s">
        <v>78</v>
      </c>
      <c r="Z44" s="385"/>
      <c r="AA44" s="385"/>
      <c r="AB44" s="386"/>
      <c r="AD44" s="102"/>
      <c r="AE44" s="384" t="s">
        <v>138</v>
      </c>
      <c r="AF44" s="385"/>
      <c r="AG44" s="385"/>
      <c r="AH44" s="386"/>
      <c r="AJ44" s="102"/>
      <c r="AK44" s="384" t="s">
        <v>167</v>
      </c>
      <c r="AL44" s="385"/>
      <c r="AM44" s="385"/>
      <c r="AN44" s="386"/>
    </row>
    <row r="45" spans="1:40" customFormat="1" ht="34.5" hidden="1" thickBot="1" x14ac:dyDescent="0.3">
      <c r="A45" s="74"/>
      <c r="B45" s="47"/>
      <c r="C45" s="48" t="s">
        <v>79</v>
      </c>
      <c r="D45" s="49" t="s">
        <v>80</v>
      </c>
      <c r="E45" s="49"/>
      <c r="F45" s="49"/>
      <c r="G45" s="49"/>
      <c r="H45" s="50" t="s">
        <v>81</v>
      </c>
      <c r="I45" s="51" t="s">
        <v>82</v>
      </c>
      <c r="J45" s="51" t="s">
        <v>83</v>
      </c>
      <c r="K45" s="52" t="s">
        <v>84</v>
      </c>
      <c r="L45" s="53"/>
      <c r="M45" s="50" t="s">
        <v>81</v>
      </c>
      <c r="N45" s="51" t="s">
        <v>82</v>
      </c>
      <c r="O45" s="51" t="s">
        <v>83</v>
      </c>
      <c r="P45" s="55" t="s">
        <v>84</v>
      </c>
      <c r="Q45" s="53"/>
      <c r="R45" s="54"/>
      <c r="S45" s="50" t="s">
        <v>81</v>
      </c>
      <c r="T45" s="51" t="s">
        <v>82</v>
      </c>
      <c r="U45" s="51" t="s">
        <v>83</v>
      </c>
      <c r="V45" s="55" t="s">
        <v>84</v>
      </c>
      <c r="W45" s="56"/>
      <c r="X45" s="57"/>
      <c r="Y45" s="50" t="s">
        <v>81</v>
      </c>
      <c r="Z45" s="51" t="s">
        <v>82</v>
      </c>
      <c r="AA45" s="51" t="s">
        <v>83</v>
      </c>
      <c r="AB45" s="55" t="s">
        <v>84</v>
      </c>
      <c r="AD45" s="103"/>
      <c r="AE45" s="50" t="s">
        <v>81</v>
      </c>
      <c r="AF45" s="51" t="s">
        <v>82</v>
      </c>
      <c r="AG45" s="51" t="s">
        <v>83</v>
      </c>
      <c r="AH45" s="55" t="s">
        <v>84</v>
      </c>
      <c r="AJ45" s="103"/>
      <c r="AK45" s="50" t="s">
        <v>81</v>
      </c>
      <c r="AL45" s="51" t="s">
        <v>82</v>
      </c>
      <c r="AM45" s="51" t="s">
        <v>83</v>
      </c>
      <c r="AN45" s="55" t="s">
        <v>84</v>
      </c>
    </row>
    <row r="46" spans="1:40" customFormat="1" ht="16.5" hidden="1" thickTop="1" thickBot="1" x14ac:dyDescent="0.3">
      <c r="H46" s="12"/>
      <c r="I46" s="12"/>
      <c r="J46" s="12"/>
      <c r="K46" s="12"/>
      <c r="M46" s="12"/>
      <c r="N46" s="12"/>
      <c r="O46" s="12"/>
      <c r="P46" s="12"/>
      <c r="S46" s="12"/>
      <c r="T46" s="12"/>
      <c r="U46" s="12"/>
      <c r="V46" s="12"/>
      <c r="Y46" s="12"/>
      <c r="Z46" s="12"/>
      <c r="AA46" s="12"/>
      <c r="AB46" s="12"/>
      <c r="AD46" s="101"/>
      <c r="AE46" s="12"/>
      <c r="AF46" s="12"/>
      <c r="AG46" s="12"/>
      <c r="AH46" s="12"/>
      <c r="AJ46" s="101"/>
      <c r="AK46" s="12"/>
      <c r="AL46" s="12"/>
      <c r="AM46" s="12"/>
      <c r="AN46" s="12"/>
    </row>
    <row r="47" spans="1:40" customFormat="1" ht="16.5" hidden="1" thickTop="1" thickBot="1" x14ac:dyDescent="0.3">
      <c r="A47" s="121"/>
      <c r="B47" s="41">
        <f>A44</f>
        <v>42736</v>
      </c>
      <c r="C47" s="58">
        <f>L1</f>
        <v>41680</v>
      </c>
      <c r="D47" s="59">
        <f>E47/30.5</f>
        <v>34.622950819672134</v>
      </c>
      <c r="E47" s="60">
        <f>B47-C47</f>
        <v>1056</v>
      </c>
      <c r="F47" s="61"/>
      <c r="G47" s="61">
        <f>E47*6/5</f>
        <v>1267.2</v>
      </c>
      <c r="H47" s="62">
        <f>INT(D47*1/2/12)</f>
        <v>1</v>
      </c>
      <c r="I47" s="63">
        <f>INT(D47*1/2-(H47*12))</f>
        <v>5</v>
      </c>
      <c r="J47" s="64">
        <f>ROUND((D47*1/2-(H47*12)-I47)*30,0)</f>
        <v>9</v>
      </c>
      <c r="K47" s="86">
        <f>B47-G47</f>
        <v>41468.800000000003</v>
      </c>
      <c r="L47" s="65"/>
      <c r="M47" s="62">
        <f>INT(D47*3/4/12)</f>
        <v>2</v>
      </c>
      <c r="N47" s="63">
        <f>INT(D47*3/4-(M47*12))</f>
        <v>1</v>
      </c>
      <c r="O47" s="64">
        <f>ROUND((D47*3/4-(M47*12)-N47)*30,0)</f>
        <v>29</v>
      </c>
      <c r="P47" s="87" t="e">
        <f>B47-#REF!</f>
        <v>#REF!</v>
      </c>
      <c r="Q47" s="65"/>
      <c r="R47" s="61">
        <f>E47*2/3</f>
        <v>704</v>
      </c>
      <c r="S47" s="62">
        <f>INT(D47*2/3/12)</f>
        <v>1</v>
      </c>
      <c r="T47" s="63">
        <f>INT(D47*2/3-(S47*12))</f>
        <v>11</v>
      </c>
      <c r="U47" s="64">
        <f>ROUND((D47*2/3-(S47*12)-T47)*30,0)</f>
        <v>2</v>
      </c>
      <c r="V47" s="87">
        <f>B47-R47</f>
        <v>42032</v>
      </c>
      <c r="W47" s="67"/>
      <c r="X47" s="66">
        <f>E47*4/3</f>
        <v>1408</v>
      </c>
      <c r="Y47" s="62">
        <f>INT(D47*4/3/12)</f>
        <v>3</v>
      </c>
      <c r="Z47" s="63">
        <f>INT(D47*4/3-(Y47*12))</f>
        <v>10</v>
      </c>
      <c r="AA47" s="64">
        <f>ROUND((D47*4/3-(Y47*12)-Z47)*30,0)</f>
        <v>5</v>
      </c>
      <c r="AB47" s="87">
        <f>B47-X47</f>
        <v>41328</v>
      </c>
      <c r="AD47" s="100">
        <f>E47*2</f>
        <v>2112</v>
      </c>
      <c r="AE47" s="62">
        <f>INT(J47*4/3/12)</f>
        <v>1</v>
      </c>
      <c r="AF47" s="63">
        <f>INT(J47*4/3-(AE47*12))</f>
        <v>0</v>
      </c>
      <c r="AG47" s="64">
        <f>ROUND((J47*4/3-(AE47*12)-AF47)*30,0)</f>
        <v>0</v>
      </c>
      <c r="AH47" s="87">
        <f>C47-AD47</f>
        <v>39568</v>
      </c>
      <c r="AJ47" s="100">
        <f>E47*3</f>
        <v>3168</v>
      </c>
      <c r="AK47" s="62">
        <f>INT(O47*4/3/12)</f>
        <v>3</v>
      </c>
      <c r="AL47" s="63">
        <f>INT(O47*4/3-(AK47*12))</f>
        <v>2</v>
      </c>
      <c r="AM47" s="64">
        <f>ROUND((O47*4/3-(AK47*12)-AL47)*30,0)</f>
        <v>20</v>
      </c>
      <c r="AN47" s="87">
        <f>C47-AJ47</f>
        <v>38512</v>
      </c>
    </row>
    <row r="48" spans="1:40" customFormat="1" hidden="1" x14ac:dyDescent="0.25">
      <c r="B48" s="41"/>
      <c r="C48" s="75"/>
      <c r="D48" s="76"/>
      <c r="E48" s="60"/>
      <c r="F48" s="61"/>
      <c r="G48" s="61"/>
      <c r="H48" s="70"/>
      <c r="I48" s="70"/>
      <c r="J48" s="73"/>
      <c r="K48" s="77"/>
      <c r="L48" s="61"/>
      <c r="M48" s="70"/>
      <c r="N48" s="70"/>
      <c r="O48" s="73"/>
      <c r="P48" s="67"/>
      <c r="Q48" s="61"/>
      <c r="R48" s="61"/>
      <c r="S48" s="70"/>
      <c r="T48" s="70"/>
      <c r="U48" s="73"/>
      <c r="V48" s="67"/>
      <c r="W48" s="67"/>
      <c r="X48" s="66"/>
      <c r="Y48" s="70"/>
      <c r="Z48" s="70"/>
      <c r="AA48" s="73"/>
      <c r="AB48" s="67"/>
      <c r="AD48" s="101"/>
    </row>
    <row r="49" spans="1:34" customFormat="1" ht="15.75" hidden="1" thickBot="1" x14ac:dyDescent="0.3">
      <c r="F49" s="12"/>
      <c r="AD49" s="101"/>
    </row>
    <row r="50" spans="1:34" customFormat="1" ht="12.75" hidden="1" customHeight="1" x14ac:dyDescent="0.25">
      <c r="F50" s="12"/>
      <c r="H50" s="381" t="s">
        <v>85</v>
      </c>
      <c r="I50" s="382"/>
      <c r="J50" s="382"/>
      <c r="K50" s="383"/>
      <c r="M50" s="384" t="s">
        <v>90</v>
      </c>
      <c r="N50" s="385"/>
      <c r="O50" s="385"/>
      <c r="P50" s="306"/>
      <c r="S50" s="384" t="s">
        <v>91</v>
      </c>
      <c r="T50" s="385"/>
      <c r="U50" s="385"/>
      <c r="V50" s="386"/>
      <c r="Y50" s="384" t="s">
        <v>132</v>
      </c>
      <c r="Z50" s="385"/>
      <c r="AA50" s="385"/>
      <c r="AB50" s="386"/>
      <c r="AD50" s="101"/>
      <c r="AE50" s="384" t="s">
        <v>141</v>
      </c>
      <c r="AF50" s="385"/>
      <c r="AG50" s="385"/>
      <c r="AH50" s="386"/>
    </row>
    <row r="51" spans="1:34" customFormat="1" ht="34.5" hidden="1" thickBot="1" x14ac:dyDescent="0.3">
      <c r="F51" s="12"/>
      <c r="H51" s="50" t="s">
        <v>81</v>
      </c>
      <c r="I51" s="51" t="s">
        <v>82</v>
      </c>
      <c r="J51" s="51" t="s">
        <v>83</v>
      </c>
      <c r="K51" s="55" t="s">
        <v>84</v>
      </c>
      <c r="M51" s="50" t="s">
        <v>81</v>
      </c>
      <c r="N51" s="51" t="s">
        <v>82</v>
      </c>
      <c r="O51" s="51" t="s">
        <v>83</v>
      </c>
      <c r="P51" s="55" t="s">
        <v>84</v>
      </c>
      <c r="S51" s="50" t="s">
        <v>81</v>
      </c>
      <c r="T51" s="51" t="s">
        <v>82</v>
      </c>
      <c r="U51" s="51" t="s">
        <v>83</v>
      </c>
      <c r="V51" s="55" t="s">
        <v>84</v>
      </c>
      <c r="Y51" s="50" t="s">
        <v>81</v>
      </c>
      <c r="Z51" s="51" t="s">
        <v>82</v>
      </c>
      <c r="AA51" s="51" t="s">
        <v>83</v>
      </c>
      <c r="AB51" s="55" t="s">
        <v>84</v>
      </c>
      <c r="AD51" s="101"/>
      <c r="AE51" s="50" t="s">
        <v>81</v>
      </c>
      <c r="AF51" s="51" t="s">
        <v>82</v>
      </c>
      <c r="AG51" s="51" t="s">
        <v>83</v>
      </c>
      <c r="AH51" s="55" t="s">
        <v>84</v>
      </c>
    </row>
    <row r="52" spans="1:34" customFormat="1" ht="6" hidden="1" customHeight="1" thickBot="1" x14ac:dyDescent="0.3">
      <c r="F52" s="12"/>
      <c r="AD52" s="101"/>
    </row>
    <row r="53" spans="1:34" customFormat="1" ht="16.5" hidden="1" thickTop="1" thickBot="1" x14ac:dyDescent="0.3">
      <c r="A53" s="121"/>
      <c r="B53" s="41">
        <f>A44</f>
        <v>42736</v>
      </c>
      <c r="C53" s="58">
        <f>L1</f>
        <v>41680</v>
      </c>
      <c r="D53" s="59">
        <f>E53/30.5</f>
        <v>34.622950819672134</v>
      </c>
      <c r="E53" s="60">
        <f>B53-C53</f>
        <v>1056</v>
      </c>
      <c r="F53" s="61"/>
      <c r="G53" s="61">
        <f>E53*3/2</f>
        <v>1584</v>
      </c>
      <c r="H53" s="62">
        <f>INT(D53*3/2/12)</f>
        <v>4</v>
      </c>
      <c r="I53" s="63">
        <f>INT(D53*3/2-(H53*12))</f>
        <v>3</v>
      </c>
      <c r="J53" s="64">
        <f>ROUND((D53*3/2-(H53*12)-I53)*30,0)</f>
        <v>28</v>
      </c>
      <c r="K53" s="86">
        <f>B53-G53</f>
        <v>41152</v>
      </c>
      <c r="L53" s="65"/>
      <c r="M53" s="62">
        <f>INT(D53*5/4/12)</f>
        <v>3</v>
      </c>
      <c r="N53" s="63">
        <f>INT(D53*5/4-(M53*12))</f>
        <v>7</v>
      </c>
      <c r="O53" s="64">
        <f>ROUND((D53*5/4-(M53*12)-N53)*30,0)</f>
        <v>8</v>
      </c>
      <c r="P53" s="87" t="e">
        <f>B53-#REF!</f>
        <v>#REF!</v>
      </c>
      <c r="Q53" s="65"/>
      <c r="R53" s="61">
        <f>E53*5/6</f>
        <v>880</v>
      </c>
      <c r="S53" s="62">
        <f>INT(D53*5/6/12)</f>
        <v>2</v>
      </c>
      <c r="T53" s="63">
        <f>INT(D53*5/6-(S53*12))</f>
        <v>4</v>
      </c>
      <c r="U53" s="64">
        <f>ROUND((D53*5/6-(S53*12)-T53)*30,0)</f>
        <v>26</v>
      </c>
      <c r="V53" s="87">
        <f>B53-R53</f>
        <v>41856</v>
      </c>
      <c r="W53" s="67"/>
      <c r="X53" s="66">
        <f>E53*7/6</f>
        <v>1232</v>
      </c>
      <c r="Y53" s="62">
        <f>INT(D53*7/6/12)</f>
        <v>3</v>
      </c>
      <c r="Z53" s="63">
        <f>INT(D53*7/6-(Y53*12))</f>
        <v>4</v>
      </c>
      <c r="AA53" s="64">
        <f>ROUND((D53*7/6-(Y53*12)-Z53)*30,0)</f>
        <v>12</v>
      </c>
      <c r="AB53" s="87">
        <f>B53-X53</f>
        <v>41504</v>
      </c>
      <c r="AD53" s="100">
        <f>E53*6/7</f>
        <v>905.14285714285711</v>
      </c>
      <c r="AE53" s="62">
        <f>INT(J53*7/6/12)</f>
        <v>2</v>
      </c>
      <c r="AF53" s="63">
        <f>INT(J53*7/6-(AE53*12))</f>
        <v>8</v>
      </c>
      <c r="AG53" s="64">
        <f>ROUND((J53*7/6-(AE53*12)-AF53)*30,0)</f>
        <v>20</v>
      </c>
      <c r="AH53" s="87">
        <f>B53-AD53</f>
        <v>41830.857142857145</v>
      </c>
    </row>
    <row r="54" spans="1:34" customFormat="1" hidden="1" x14ac:dyDescent="0.25">
      <c r="F54" s="12"/>
      <c r="AD54" s="101"/>
    </row>
    <row r="55" spans="1:34" customFormat="1" ht="15.75" hidden="1" thickBot="1" x14ac:dyDescent="0.3">
      <c r="F55" s="12"/>
      <c r="AD55" s="101"/>
    </row>
    <row r="56" spans="1:34" customFormat="1" ht="27.75" hidden="1" customHeight="1" x14ac:dyDescent="0.25">
      <c r="F56" s="12"/>
      <c r="H56" s="384" t="s">
        <v>92</v>
      </c>
      <c r="I56" s="385"/>
      <c r="J56" s="385"/>
      <c r="K56" s="386"/>
      <c r="M56" s="384" t="s">
        <v>93</v>
      </c>
      <c r="N56" s="385"/>
      <c r="O56" s="385"/>
      <c r="P56" s="306"/>
      <c r="S56" s="384" t="s">
        <v>142</v>
      </c>
      <c r="T56" s="385"/>
      <c r="U56" s="385"/>
      <c r="V56" s="386"/>
      <c r="AD56" s="101"/>
    </row>
    <row r="57" spans="1:34" customFormat="1" ht="34.5" hidden="1" thickBot="1" x14ac:dyDescent="0.3">
      <c r="F57" s="12"/>
      <c r="H57" s="50" t="s">
        <v>81</v>
      </c>
      <c r="I57" s="51" t="s">
        <v>82</v>
      </c>
      <c r="J57" s="51" t="s">
        <v>83</v>
      </c>
      <c r="K57" s="55" t="s">
        <v>84</v>
      </c>
      <c r="M57" s="50" t="s">
        <v>81</v>
      </c>
      <c r="N57" s="51" t="s">
        <v>82</v>
      </c>
      <c r="O57" s="51" t="s">
        <v>83</v>
      </c>
      <c r="P57" s="55" t="s">
        <v>84</v>
      </c>
      <c r="S57" s="50"/>
      <c r="T57" s="51"/>
      <c r="U57" s="51"/>
      <c r="V57" s="55"/>
      <c r="AD57" s="101"/>
    </row>
    <row r="58" spans="1:34" customFormat="1" ht="6" hidden="1" customHeight="1" thickBot="1" x14ac:dyDescent="0.3">
      <c r="F58" s="12"/>
      <c r="AD58" s="101"/>
    </row>
    <row r="59" spans="1:34" customFormat="1" ht="16.5" hidden="1" thickTop="1" thickBot="1" x14ac:dyDescent="0.3">
      <c r="A59" s="121"/>
      <c r="B59" s="41">
        <f>A44</f>
        <v>42736</v>
      </c>
      <c r="C59" s="58">
        <f>L1+(6*30.5)-1</f>
        <v>41862</v>
      </c>
      <c r="D59" s="59">
        <f>E59/30.5</f>
        <v>28.655737704918032</v>
      </c>
      <c r="E59" s="60">
        <f>B59-C59</f>
        <v>874</v>
      </c>
      <c r="F59" s="61"/>
      <c r="G59" s="61">
        <f>E59*2/3</f>
        <v>582.66666666666663</v>
      </c>
      <c r="H59" s="62">
        <f>INT(D59*2/3/12)</f>
        <v>1</v>
      </c>
      <c r="I59" s="63">
        <f>INT(D59*2/3-(H59*12))</f>
        <v>7</v>
      </c>
      <c r="J59" s="64">
        <f>ROUND((D59*2/3-(H59*12)-I59)*30,0)</f>
        <v>3</v>
      </c>
      <c r="K59" s="86">
        <f>B59-G59</f>
        <v>42153.333333333336</v>
      </c>
      <c r="L59" s="65"/>
      <c r="M59" s="62">
        <f>INT(D59*4/3/12)</f>
        <v>3</v>
      </c>
      <c r="N59" s="63">
        <f>INT(D59*4/3-(M59*12))</f>
        <v>2</v>
      </c>
      <c r="O59" s="64">
        <f>ROUND((D59*4/3-(M59*12)-N59)*30,0)</f>
        <v>6</v>
      </c>
      <c r="P59" s="87" t="e">
        <f>B59-#REF!</f>
        <v>#REF!</v>
      </c>
      <c r="Q59" s="61"/>
      <c r="R59" s="61">
        <f>E47*1/3</f>
        <v>352</v>
      </c>
      <c r="S59" s="62">
        <f>INT(D47*1/3/12)</f>
        <v>0</v>
      </c>
      <c r="T59" s="63">
        <f>INT(D47*1/3-(S59*12))</f>
        <v>11</v>
      </c>
      <c r="U59" s="64">
        <f>ROUND((D47*1/3-(S59*12)-T59)*30,0)</f>
        <v>16</v>
      </c>
      <c r="V59" s="87">
        <f>B47-R59</f>
        <v>42384</v>
      </c>
      <c r="W59" s="67"/>
      <c r="X59" s="66"/>
      <c r="Y59" s="70"/>
      <c r="Z59" s="70"/>
      <c r="AA59" s="73"/>
      <c r="AB59" s="67"/>
      <c r="AD59" s="101"/>
    </row>
    <row r="60" spans="1:34" customFormat="1" hidden="1" x14ac:dyDescent="0.25">
      <c r="F60" s="12"/>
      <c r="AD60" s="101"/>
    </row>
    <row r="61" spans="1:34" customFormat="1" ht="15.75" hidden="1" thickBot="1" x14ac:dyDescent="0.3">
      <c r="F61" s="12"/>
      <c r="AD61" s="101"/>
    </row>
    <row r="62" spans="1:34" customFormat="1" hidden="1" x14ac:dyDescent="0.25">
      <c r="F62" s="12"/>
      <c r="H62" s="384" t="s">
        <v>139</v>
      </c>
      <c r="I62" s="385"/>
      <c r="J62" s="385"/>
      <c r="K62" s="386"/>
      <c r="AD62" s="101"/>
    </row>
    <row r="63" spans="1:34" customFormat="1" ht="23.25" hidden="1" thickBot="1" x14ac:dyDescent="0.3">
      <c r="F63" s="12"/>
      <c r="H63" s="50" t="s">
        <v>81</v>
      </c>
      <c r="I63" s="51" t="s">
        <v>82</v>
      </c>
      <c r="J63" s="51" t="s">
        <v>83</v>
      </c>
      <c r="K63" s="55" t="s">
        <v>84</v>
      </c>
      <c r="AD63" s="101"/>
    </row>
    <row r="64" spans="1:34" customFormat="1" ht="15.75" hidden="1" thickBot="1" x14ac:dyDescent="0.3">
      <c r="F64" s="12"/>
      <c r="AD64" s="101"/>
    </row>
    <row r="65" spans="1:30" customFormat="1" ht="16.5" hidden="1" thickTop="1" thickBot="1" x14ac:dyDescent="0.3">
      <c r="B65" s="41">
        <f>A44</f>
        <v>42736</v>
      </c>
      <c r="C65" s="58">
        <f>L1+(12*30.5)-1</f>
        <v>42045</v>
      </c>
      <c r="D65" s="59">
        <f>E65/30.5</f>
        <v>22.655737704918032</v>
      </c>
      <c r="E65" s="60">
        <f>B65-C65</f>
        <v>691</v>
      </c>
      <c r="F65" s="12"/>
      <c r="G65" s="68">
        <f>E65</f>
        <v>691</v>
      </c>
      <c r="H65" s="62">
        <f>INT(D65*2/3/12)</f>
        <v>1</v>
      </c>
      <c r="I65" s="63">
        <f>INT(D65*2/3-(H65*12))</f>
        <v>3</v>
      </c>
      <c r="J65" s="64">
        <f>ROUND((D65*2/3-(H65*12)-I65)*30,0)</f>
        <v>3</v>
      </c>
      <c r="K65" s="86">
        <f>B65-G65</f>
        <v>42045</v>
      </c>
      <c r="AD65" s="101"/>
    </row>
    <row r="66" spans="1:30" customFormat="1" hidden="1" x14ac:dyDescent="0.25">
      <c r="F66" s="12"/>
      <c r="AD66" s="101"/>
    </row>
    <row r="67" spans="1:30" customFormat="1" ht="15.75" hidden="1" thickBot="1" x14ac:dyDescent="0.3">
      <c r="F67" s="12"/>
      <c r="AD67" s="101"/>
    </row>
    <row r="68" spans="1:30" customFormat="1" hidden="1" x14ac:dyDescent="0.25">
      <c r="F68" s="12"/>
      <c r="H68" s="384" t="s">
        <v>94</v>
      </c>
      <c r="I68" s="385"/>
      <c r="J68" s="385"/>
      <c r="K68" s="386"/>
      <c r="M68" s="384" t="s">
        <v>95</v>
      </c>
      <c r="N68" s="385"/>
      <c r="O68" s="385"/>
      <c r="P68" s="306"/>
      <c r="AD68" s="101"/>
    </row>
    <row r="69" spans="1:30" customFormat="1" ht="34.5" hidden="1" thickBot="1" x14ac:dyDescent="0.3">
      <c r="F69" s="12"/>
      <c r="H69" s="50" t="s">
        <v>81</v>
      </c>
      <c r="I69" s="51" t="s">
        <v>82</v>
      </c>
      <c r="J69" s="51" t="s">
        <v>83</v>
      </c>
      <c r="K69" s="55" t="s">
        <v>84</v>
      </c>
      <c r="M69" s="50" t="s">
        <v>81</v>
      </c>
      <c r="N69" s="51" t="s">
        <v>82</v>
      </c>
      <c r="O69" s="51" t="s">
        <v>83</v>
      </c>
      <c r="P69" s="55" t="s">
        <v>84</v>
      </c>
      <c r="AD69" s="101"/>
    </row>
    <row r="70" spans="1:30" customFormat="1" ht="15.75" hidden="1" thickBot="1" x14ac:dyDescent="0.3">
      <c r="F70" s="12"/>
      <c r="AD70" s="101"/>
    </row>
    <row r="71" spans="1:30" customFormat="1" ht="16.5" hidden="1" thickTop="1" thickBot="1" x14ac:dyDescent="0.3">
      <c r="A71" s="121"/>
      <c r="B71" s="41">
        <f>A44</f>
        <v>42736</v>
      </c>
      <c r="C71" s="58">
        <f>L1+(18*30.5)-1</f>
        <v>42228</v>
      </c>
      <c r="D71" s="59">
        <f>E71/30.5</f>
        <v>16.655737704918032</v>
      </c>
      <c r="E71" s="60">
        <f>B71-C71</f>
        <v>508</v>
      </c>
      <c r="F71" s="61"/>
      <c r="G71" s="61">
        <f>E71*5/3</f>
        <v>846.66666666666663</v>
      </c>
      <c r="H71" s="62">
        <f>INT(D71*5/3/12)</f>
        <v>2</v>
      </c>
      <c r="I71" s="63">
        <f>INT(D71*5/3-(H71*12))</f>
        <v>3</v>
      </c>
      <c r="J71" s="64">
        <f>ROUND((D71*5/3-(H71*12)-I71)*30,0)</f>
        <v>23</v>
      </c>
      <c r="K71" s="86">
        <f>B71-G71</f>
        <v>41889.333333333336</v>
      </c>
      <c r="L71" s="65"/>
      <c r="M71" s="62">
        <f>INT(D71*8/3/12)</f>
        <v>3</v>
      </c>
      <c r="N71" s="63">
        <f>INT(D71*8/3-(M71*12))</f>
        <v>8</v>
      </c>
      <c r="O71" s="64">
        <f>ROUND((D71*8/3-(M71*12)-N71)*30,0)</f>
        <v>12</v>
      </c>
      <c r="P71" s="87" t="e">
        <f>B71-#REF!</f>
        <v>#REF!</v>
      </c>
      <c r="Q71" s="61"/>
      <c r="R71" s="61"/>
      <c r="S71" s="70"/>
      <c r="T71" s="70"/>
      <c r="U71" s="73"/>
      <c r="V71" s="67"/>
      <c r="W71" s="67"/>
      <c r="X71" s="66"/>
      <c r="Y71" s="70"/>
      <c r="Z71" s="70"/>
      <c r="AA71" s="73"/>
      <c r="AB71" s="67"/>
      <c r="AD71" s="101"/>
    </row>
    <row r="72" spans="1:30" customFormat="1" hidden="1" x14ac:dyDescent="0.25">
      <c r="F72" s="12"/>
      <c r="AD72" s="101"/>
    </row>
    <row r="73" spans="1:30" customFormat="1" ht="15.75" hidden="1" thickBot="1" x14ac:dyDescent="0.3">
      <c r="F73" s="12"/>
      <c r="AD73" s="101"/>
    </row>
    <row r="74" spans="1:30" customFormat="1" hidden="1" x14ac:dyDescent="0.25">
      <c r="F74" s="12"/>
      <c r="H74" s="384" t="s">
        <v>96</v>
      </c>
      <c r="I74" s="385"/>
      <c r="J74" s="385"/>
      <c r="K74" s="386"/>
      <c r="M74" s="384" t="s">
        <v>140</v>
      </c>
      <c r="N74" s="385"/>
      <c r="O74" s="385"/>
      <c r="P74" s="306"/>
      <c r="AD74" s="101"/>
    </row>
    <row r="75" spans="1:30" customFormat="1" ht="34.5" hidden="1" thickBot="1" x14ac:dyDescent="0.3">
      <c r="F75" s="12"/>
      <c r="H75" s="50" t="s">
        <v>81</v>
      </c>
      <c r="I75" s="51" t="s">
        <v>82</v>
      </c>
      <c r="J75" s="51" t="s">
        <v>83</v>
      </c>
      <c r="K75" s="55" t="s">
        <v>84</v>
      </c>
      <c r="M75" s="50" t="s">
        <v>81</v>
      </c>
      <c r="N75" s="51" t="s">
        <v>82</v>
      </c>
      <c r="O75" s="51" t="s">
        <v>83</v>
      </c>
      <c r="P75" s="55" t="s">
        <v>84</v>
      </c>
      <c r="AD75" s="101"/>
    </row>
    <row r="76" spans="1:30" customFormat="1" ht="15.75" hidden="1" thickBot="1" x14ac:dyDescent="0.3">
      <c r="F76" s="12"/>
      <c r="AD76" s="101"/>
    </row>
    <row r="77" spans="1:30" customFormat="1" ht="16.5" hidden="1" thickTop="1" thickBot="1" x14ac:dyDescent="0.3">
      <c r="A77" s="121"/>
      <c r="B77" s="41">
        <f>A44</f>
        <v>42736</v>
      </c>
      <c r="C77" s="58">
        <f>L1+(24*30.5)-1</f>
        <v>42411</v>
      </c>
      <c r="D77" s="59">
        <f>E77/30.5</f>
        <v>10.655737704918034</v>
      </c>
      <c r="E77" s="60">
        <f>B77-C77</f>
        <v>325</v>
      </c>
      <c r="F77" s="61"/>
      <c r="G77" s="61">
        <f>E77*5/4</f>
        <v>406.25</v>
      </c>
      <c r="H77" s="62">
        <f>INT(D77*5/4/12)</f>
        <v>1</v>
      </c>
      <c r="I77" s="63">
        <f>INT(D77*5/4-(H77*12))</f>
        <v>1</v>
      </c>
      <c r="J77" s="64">
        <f>ROUND((D77*5/4-(H77*12)-I77)*30,0)</f>
        <v>10</v>
      </c>
      <c r="K77" s="86">
        <f>B77-G77</f>
        <v>42329.75</v>
      </c>
      <c r="L77" s="61"/>
      <c r="M77" s="62">
        <f>INT(J77/12)</f>
        <v>0</v>
      </c>
      <c r="N77" s="63">
        <f>INT(J77-(M77*12))</f>
        <v>10</v>
      </c>
      <c r="O77" s="64">
        <f>ROUND((J77-(M77*12)-N77)*30,0)</f>
        <v>0</v>
      </c>
      <c r="P77" s="86" t="e">
        <f>B77-#REF!</f>
        <v>#REF!</v>
      </c>
      <c r="Q77" s="61"/>
      <c r="R77" s="61"/>
      <c r="S77" s="70"/>
      <c r="T77" s="70"/>
      <c r="U77" s="73"/>
      <c r="V77" s="67"/>
      <c r="W77" s="67"/>
      <c r="X77" s="66"/>
      <c r="Y77" s="70"/>
      <c r="Z77" s="70"/>
      <c r="AA77" s="73"/>
      <c r="AB77" s="67"/>
      <c r="AD77" s="101"/>
    </row>
    <row r="78" spans="1:30" customFormat="1" hidden="1" x14ac:dyDescent="0.25">
      <c r="F78" s="12"/>
      <c r="AD78" s="101"/>
    </row>
    <row r="79" spans="1:30" customFormat="1" ht="15.75" hidden="1" thickBot="1" x14ac:dyDescent="0.3">
      <c r="AD79" s="101"/>
    </row>
    <row r="80" spans="1:30" customFormat="1" hidden="1" x14ac:dyDescent="0.25">
      <c r="F80" s="12"/>
      <c r="H80" s="384" t="s">
        <v>164</v>
      </c>
      <c r="I80" s="385"/>
      <c r="J80" s="385"/>
      <c r="K80" s="386"/>
      <c r="AD80" s="101"/>
    </row>
    <row r="81" spans="2:30" customFormat="1" ht="23.25" hidden="1" thickBot="1" x14ac:dyDescent="0.3">
      <c r="F81" s="12"/>
      <c r="H81" s="50" t="s">
        <v>81</v>
      </c>
      <c r="I81" s="51" t="s">
        <v>82</v>
      </c>
      <c r="J81" s="51" t="s">
        <v>83</v>
      </c>
      <c r="K81" s="55" t="s">
        <v>84</v>
      </c>
      <c r="AD81" s="101"/>
    </row>
    <row r="82" spans="2:30" customFormat="1" ht="15.75" hidden="1" thickBot="1" x14ac:dyDescent="0.3">
      <c r="F82" s="12"/>
      <c r="AD82" s="101"/>
    </row>
    <row r="83" spans="2:30" customFormat="1" ht="16.5" hidden="1" thickTop="1" thickBot="1" x14ac:dyDescent="0.3">
      <c r="B83" s="41">
        <f>A44</f>
        <v>42736</v>
      </c>
      <c r="C83" s="58">
        <f>L1+(36*30.5)-1</f>
        <v>42777</v>
      </c>
      <c r="D83" s="59">
        <f>E83/30.5</f>
        <v>-1.3442622950819672</v>
      </c>
      <c r="E83" s="60">
        <f>B83-C83</f>
        <v>-41</v>
      </c>
      <c r="F83" s="61"/>
      <c r="G83" s="61">
        <f>E83*3</f>
        <v>-123</v>
      </c>
      <c r="H83" s="62">
        <f>INT(D83*5/4/12)</f>
        <v>-1</v>
      </c>
      <c r="I83" s="63">
        <f>INT(D83*5/4-(H83*12))</f>
        <v>10</v>
      </c>
      <c r="J83" s="64">
        <f>ROUND((D83*5/4-(H83*12)-I83)*30,0)</f>
        <v>10</v>
      </c>
      <c r="K83" s="86">
        <f>B83-G83</f>
        <v>42859</v>
      </c>
      <c r="AD83" s="101"/>
    </row>
    <row r="84" spans="2:30" customFormat="1" hidden="1" x14ac:dyDescent="0.25">
      <c r="N84" s="36"/>
      <c r="AD84" s="101"/>
    </row>
    <row r="85" spans="2:30" hidden="1" x14ac:dyDescent="0.25"/>
    <row r="86" spans="2:30" hidden="1" x14ac:dyDescent="0.25"/>
    <row r="87" spans="2:30" hidden="1" x14ac:dyDescent="0.25"/>
    <row r="88" spans="2:30" hidden="1" x14ac:dyDescent="0.25"/>
    <row r="89" spans="2:30" hidden="1" x14ac:dyDescent="0.25"/>
    <row r="90" spans="2:30" hidden="1" x14ac:dyDescent="0.25"/>
    <row r="91" spans="2:30" hidden="1" x14ac:dyDescent="0.25"/>
    <row r="92" spans="2:30" hidden="1" x14ac:dyDescent="0.25"/>
    <row r="93" spans="2:30" hidden="1" x14ac:dyDescent="0.25"/>
  </sheetData>
  <sheetProtection password="EB30" sheet="1" objects="1" scenarios="1" selectLockedCells="1"/>
  <mergeCells count="29">
    <mergeCell ref="B1:E1"/>
    <mergeCell ref="H1:K1"/>
    <mergeCell ref="L1:O1"/>
    <mergeCell ref="B3:F3"/>
    <mergeCell ref="A44:B44"/>
    <mergeCell ref="C44:D44"/>
    <mergeCell ref="H44:K44"/>
    <mergeCell ref="M44:O44"/>
    <mergeCell ref="C6:E6"/>
    <mergeCell ref="AE44:AH44"/>
    <mergeCell ref="AK44:AN44"/>
    <mergeCell ref="H50:K50"/>
    <mergeCell ref="M50:O50"/>
    <mergeCell ref="S50:V50"/>
    <mergeCell ref="Y50:AB50"/>
    <mergeCell ref="AE50:AH50"/>
    <mergeCell ref="S56:V56"/>
    <mergeCell ref="H62:K62"/>
    <mergeCell ref="H68:K68"/>
    <mergeCell ref="M68:O68"/>
    <mergeCell ref="Y44:AB44"/>
    <mergeCell ref="S44:V44"/>
    <mergeCell ref="H74:K74"/>
    <mergeCell ref="M74:O74"/>
    <mergeCell ref="H80:K80"/>
    <mergeCell ref="J6:K6"/>
    <mergeCell ref="O4:O7"/>
    <mergeCell ref="H56:K56"/>
    <mergeCell ref="M56:O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opLeftCell="C7" workbookViewId="0">
      <selection activeCell="A30" sqref="A30"/>
    </sheetView>
  </sheetViews>
  <sheetFormatPr baseColWidth="10" defaultRowHeight="15" x14ac:dyDescent="0.25"/>
  <cols>
    <col min="1" max="1" width="27.42578125" customWidth="1"/>
    <col min="7" max="7" width="5.42578125" customWidth="1"/>
    <col min="9" max="9" width="6" customWidth="1"/>
    <col min="15" max="15" width="5.28515625" customWidth="1"/>
    <col min="16" max="16" width="20.5703125" customWidth="1"/>
  </cols>
  <sheetData>
    <row r="1" spans="2:17" ht="33.75" x14ac:dyDescent="0.5">
      <c r="C1" s="260" t="s">
        <v>199</v>
      </c>
    </row>
    <row r="2" spans="2:17" ht="12.75" customHeight="1" x14ac:dyDescent="0.5">
      <c r="C2" s="260"/>
    </row>
    <row r="3" spans="2:17" ht="33.75" customHeight="1" x14ac:dyDescent="0.25">
      <c r="B3" s="346" t="s">
        <v>255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</row>
    <row r="4" spans="2:17" ht="34.5" customHeight="1" thickBot="1" x14ac:dyDescent="0.3">
      <c r="D4" s="347" t="s">
        <v>258</v>
      </c>
      <c r="E4" s="347"/>
      <c r="F4" s="347"/>
      <c r="G4" s="347"/>
      <c r="H4" s="347"/>
    </row>
    <row r="5" spans="2:17" ht="29.25" thickBot="1" x14ac:dyDescent="0.3">
      <c r="B5" s="355" t="s">
        <v>211</v>
      </c>
      <c r="C5" s="355"/>
      <c r="D5" s="355"/>
      <c r="E5" s="355"/>
      <c r="F5" s="355"/>
      <c r="G5" s="355"/>
      <c r="J5" s="352" t="s">
        <v>200</v>
      </c>
      <c r="K5" s="353"/>
      <c r="L5" s="353"/>
      <c r="M5" s="353"/>
      <c r="N5" s="354"/>
    </row>
    <row r="6" spans="2:17" ht="33.75" x14ac:dyDescent="0.5">
      <c r="C6" s="260"/>
    </row>
    <row r="7" spans="2:17" ht="31.5" x14ac:dyDescent="0.25">
      <c r="B7" s="346" t="s">
        <v>256</v>
      </c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</row>
    <row r="9" spans="2:17" ht="15.75" thickBot="1" x14ac:dyDescent="0.3"/>
    <row r="10" spans="2:17" ht="27" thickBot="1" x14ac:dyDescent="0.3">
      <c r="B10" s="348" t="s">
        <v>165</v>
      </c>
      <c r="C10" s="349"/>
      <c r="D10" s="349"/>
      <c r="E10" s="349"/>
      <c r="F10" s="350">
        <f>'échelle 3 - C1'!M1</f>
        <v>42045</v>
      </c>
      <c r="G10" s="351"/>
      <c r="H10" s="351"/>
      <c r="I10" s="351"/>
      <c r="J10" s="351"/>
    </row>
    <row r="13" spans="2:17" ht="31.5" x14ac:dyDescent="0.25">
      <c r="B13" s="321" t="s">
        <v>257</v>
      </c>
    </row>
    <row r="14" spans="2:17" ht="28.5" x14ac:dyDescent="0.45">
      <c r="F14" s="259" t="s">
        <v>198</v>
      </c>
      <c r="K14" s="319" t="s">
        <v>235</v>
      </c>
    </row>
    <row r="16" spans="2:17" ht="21" x14ac:dyDescent="0.25">
      <c r="B16" s="238">
        <v>2</v>
      </c>
      <c r="C16" s="135">
        <v>1</v>
      </c>
      <c r="D16" s="187">
        <f>LOOKUP(F16,'IB-IM et VP'!A:A,'IB-IM et VP'!C:C)</f>
        <v>322</v>
      </c>
      <c r="E16" s="176">
        <f>D16*'IB-IM et VP'!P5</f>
        <v>1499.9001499999997</v>
      </c>
      <c r="F16" s="135">
        <v>341</v>
      </c>
      <c r="G16" s="165"/>
      <c r="H16" s="231" t="s">
        <v>56</v>
      </c>
      <c r="I16" s="167"/>
      <c r="J16" s="238">
        <v>2</v>
      </c>
      <c r="K16" s="168">
        <v>2</v>
      </c>
      <c r="L16" s="168">
        <f>LOOKUP(N16,'IB-IM et VP'!A:A,'IB-IM et VP'!C:C)</f>
        <v>326</v>
      </c>
      <c r="M16" s="176">
        <f>L16*'IB-IM et VP'!P5</f>
        <v>1518.5324499999997</v>
      </c>
      <c r="N16" s="168">
        <v>348</v>
      </c>
      <c r="O16" s="121"/>
      <c r="P16" s="195">
        <f>'échelle 3 - C1'!P11</f>
        <v>42045</v>
      </c>
    </row>
    <row r="17" spans="1:16" ht="21" x14ac:dyDescent="0.25">
      <c r="B17" s="238">
        <v>3</v>
      </c>
      <c r="C17" s="135">
        <v>2</v>
      </c>
      <c r="D17" s="187">
        <f>LOOKUP(F17,'IB-IM et VP'!A:A,'IB-IM et VP'!C:C)</f>
        <v>323</v>
      </c>
      <c r="E17" s="176">
        <f>D17*'IB-IM et VP'!P5</f>
        <v>1504.5582249999998</v>
      </c>
      <c r="F17" s="135">
        <v>342</v>
      </c>
      <c r="G17" s="165"/>
      <c r="H17" s="231" t="s">
        <v>56</v>
      </c>
      <c r="I17" s="167"/>
      <c r="J17" s="238">
        <v>3</v>
      </c>
      <c r="K17" s="168">
        <v>2</v>
      </c>
      <c r="L17" s="168">
        <f>LOOKUP(N17,'IB-IM et VP'!A:A,'IB-IM et VP'!C:C)</f>
        <v>327</v>
      </c>
      <c r="M17" s="176">
        <f>L17*'IB-IM et VP'!P5</f>
        <v>1523.1905249999998</v>
      </c>
      <c r="N17" s="168">
        <v>349</v>
      </c>
      <c r="O17" s="121"/>
      <c r="P17" s="194">
        <f>'échelle 3 - C1'!P12</f>
        <v>42045</v>
      </c>
    </row>
    <row r="20" spans="1:16" ht="21" x14ac:dyDescent="0.35">
      <c r="A20" s="258" t="s">
        <v>194</v>
      </c>
    </row>
    <row r="22" spans="1:16" ht="21" x14ac:dyDescent="0.35">
      <c r="C22" s="258" t="s">
        <v>195</v>
      </c>
    </row>
    <row r="24" spans="1:16" ht="21" x14ac:dyDescent="0.35">
      <c r="H24" s="258" t="s">
        <v>196</v>
      </c>
    </row>
    <row r="26" spans="1:16" ht="21" x14ac:dyDescent="0.35">
      <c r="L26" s="258" t="s">
        <v>197</v>
      </c>
    </row>
  </sheetData>
  <sheetProtection sheet="1" objects="1" scenarios="1" selectLockedCells="1"/>
  <mergeCells count="7">
    <mergeCell ref="B3:P3"/>
    <mergeCell ref="B7:Q7"/>
    <mergeCell ref="D4:H4"/>
    <mergeCell ref="B10:E10"/>
    <mergeCell ref="F10:J10"/>
    <mergeCell ref="J5:N5"/>
    <mergeCell ref="B5:G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6"/>
  <sheetViews>
    <sheetView showGridLines="0" topLeftCell="I1" zoomScale="80" zoomScaleNormal="80" workbookViewId="0">
      <selection activeCell="M1" sqref="M1:P1"/>
    </sheetView>
  </sheetViews>
  <sheetFormatPr baseColWidth="10" defaultRowHeight="21" x14ac:dyDescent="0.25"/>
  <cols>
    <col min="1" max="1" width="26.85546875" style="265" customWidth="1"/>
    <col min="2" max="6" width="11.42578125" style="96"/>
    <col min="7" max="7" width="1.7109375" style="96" customWidth="1"/>
    <col min="8" max="8" width="12.7109375" style="96" customWidth="1"/>
    <col min="9" max="9" width="5.7109375" style="96" customWidth="1"/>
    <col min="10" max="14" width="11.42578125" style="96"/>
    <col min="15" max="15" width="2.28515625" style="96" customWidth="1"/>
    <col min="16" max="16" width="28.42578125" style="96" customWidth="1"/>
    <col min="17" max="16384" width="11.42578125" style="96"/>
  </cols>
  <sheetData>
    <row r="1" spans="1:16" s="121" customFormat="1" ht="38.25" customHeight="1" thickBot="1" x14ac:dyDescent="0.3">
      <c r="A1" s="265"/>
      <c r="I1" s="348" t="s">
        <v>165</v>
      </c>
      <c r="J1" s="349"/>
      <c r="K1" s="349"/>
      <c r="L1" s="361"/>
      <c r="M1" s="362">
        <v>42045</v>
      </c>
      <c r="N1" s="363"/>
      <c r="O1" s="363"/>
      <c r="P1" s="363"/>
    </row>
    <row r="2" spans="1:16" s="121" customFormat="1" ht="21.75" thickBot="1" x14ac:dyDescent="0.3">
      <c r="A2" s="265"/>
    </row>
    <row r="3" spans="1:16" s="121" customFormat="1" ht="29.25" thickBot="1" x14ac:dyDescent="0.3">
      <c r="A3" s="265"/>
      <c r="B3" s="352" t="s">
        <v>200</v>
      </c>
      <c r="C3" s="353"/>
      <c r="D3" s="353"/>
      <c r="E3" s="353"/>
      <c r="F3" s="354"/>
      <c r="G3" s="250"/>
      <c r="H3" s="357" t="s">
        <v>173</v>
      </c>
      <c r="I3" s="357"/>
      <c r="J3" s="357"/>
      <c r="K3" s="357"/>
      <c r="L3" s="357"/>
      <c r="M3" s="357"/>
      <c r="N3" s="357"/>
    </row>
    <row r="4" spans="1:16" s="121" customFormat="1" ht="16.5" thickBot="1" x14ac:dyDescent="0.3">
      <c r="A4" s="291" t="s">
        <v>222</v>
      </c>
      <c r="H4" s="262"/>
      <c r="I4" s="365" t="s">
        <v>263</v>
      </c>
      <c r="J4" s="366"/>
      <c r="K4" s="367"/>
      <c r="L4" s="120"/>
      <c r="M4" s="120"/>
    </row>
    <row r="5" spans="1:16" s="121" customFormat="1" ht="21.75" customHeight="1" x14ac:dyDescent="0.25">
      <c r="A5" s="292" t="s">
        <v>237</v>
      </c>
      <c r="C5" s="356" t="s">
        <v>52</v>
      </c>
      <c r="D5" s="356"/>
      <c r="E5" s="356"/>
      <c r="H5" s="262"/>
      <c r="I5" s="368" t="s">
        <v>236</v>
      </c>
      <c r="J5" s="369"/>
      <c r="K5" s="370"/>
      <c r="L5" s="364" t="s">
        <v>86</v>
      </c>
      <c r="M5" s="364"/>
      <c r="N5" s="364"/>
      <c r="P5" s="358" t="s">
        <v>166</v>
      </c>
    </row>
    <row r="6" spans="1:16" ht="21.75" customHeight="1" x14ac:dyDescent="0.25">
      <c r="A6" s="293" t="s">
        <v>223</v>
      </c>
      <c r="H6" s="262"/>
      <c r="I6" s="371" t="s">
        <v>238</v>
      </c>
      <c r="J6" s="372"/>
      <c r="K6" s="373"/>
      <c r="P6" s="359"/>
    </row>
    <row r="7" spans="1:16" ht="15" customHeight="1" x14ac:dyDescent="0.25">
      <c r="H7" s="262"/>
      <c r="I7" s="120"/>
      <c r="J7" s="120"/>
      <c r="K7" s="120"/>
      <c r="L7" s="120"/>
      <c r="M7" s="120"/>
      <c r="P7" s="359"/>
    </row>
    <row r="8" spans="1:16" ht="15.75" customHeight="1" thickBot="1" x14ac:dyDescent="0.3">
      <c r="B8" s="137" t="s">
        <v>37</v>
      </c>
      <c r="C8" s="137" t="s">
        <v>38</v>
      </c>
      <c r="D8" s="175" t="s">
        <v>39</v>
      </c>
      <c r="E8" s="175" t="s">
        <v>40</v>
      </c>
      <c r="F8" s="175" t="s">
        <v>39</v>
      </c>
      <c r="G8" s="165"/>
      <c r="H8" s="158" t="s">
        <v>99</v>
      </c>
      <c r="I8" s="165" t="s">
        <v>97</v>
      </c>
      <c r="J8" s="137" t="s">
        <v>37</v>
      </c>
      <c r="K8" s="137" t="s">
        <v>38</v>
      </c>
      <c r="L8" s="175" t="s">
        <v>39</v>
      </c>
      <c r="M8" s="175" t="s">
        <v>40</v>
      </c>
      <c r="N8" s="175" t="s">
        <v>39</v>
      </c>
      <c r="P8" s="360"/>
    </row>
    <row r="9" spans="1:16" x14ac:dyDescent="0.25">
      <c r="B9" s="138"/>
      <c r="C9" s="138"/>
      <c r="D9" s="175" t="s">
        <v>41</v>
      </c>
      <c r="E9" s="175" t="s">
        <v>42</v>
      </c>
      <c r="F9" s="175" t="s">
        <v>43</v>
      </c>
      <c r="G9" s="165"/>
      <c r="H9" s="158"/>
      <c r="I9" s="165" t="s">
        <v>98</v>
      </c>
      <c r="J9" s="138"/>
      <c r="K9" s="138"/>
      <c r="L9" s="175" t="s">
        <v>41</v>
      </c>
      <c r="M9" s="175" t="s">
        <v>42</v>
      </c>
      <c r="N9" s="175" t="s">
        <v>43</v>
      </c>
      <c r="P9" s="194"/>
    </row>
    <row r="10" spans="1:16" x14ac:dyDescent="0.25">
      <c r="B10" s="197">
        <v>1</v>
      </c>
      <c r="C10" s="135">
        <v>1</v>
      </c>
      <c r="D10" s="187">
        <f>LOOKUP(F10,'IB-IM et VP'!A:A,'IB-IM et VP'!C:C)</f>
        <v>321</v>
      </c>
      <c r="E10" s="176">
        <f>D10*'IB-IM et VP'!P3</f>
        <v>1495.2420749999999</v>
      </c>
      <c r="F10" s="135">
        <v>340</v>
      </c>
      <c r="G10" s="165"/>
      <c r="H10" s="263" t="s">
        <v>56</v>
      </c>
      <c r="I10" s="167">
        <f>L10-D10</f>
        <v>4</v>
      </c>
      <c r="J10" s="197">
        <v>1</v>
      </c>
      <c r="K10" s="168">
        <v>1</v>
      </c>
      <c r="L10" s="168">
        <f>LOOKUP(N10,'IB-IM et VP'!A:A,'IB-IM et VP'!C:C)</f>
        <v>325</v>
      </c>
      <c r="M10" s="176">
        <f>L10*'IB-IM et VP'!P3</f>
        <v>1513.8743749999999</v>
      </c>
      <c r="N10" s="168">
        <v>347</v>
      </c>
      <c r="P10" s="195">
        <f>M1</f>
        <v>42045</v>
      </c>
    </row>
    <row r="11" spans="1:16" x14ac:dyDescent="0.25">
      <c r="B11" s="197">
        <v>2</v>
      </c>
      <c r="C11" s="135">
        <v>1</v>
      </c>
      <c r="D11" s="187">
        <f>LOOKUP(F11,'IB-IM et VP'!A:A,'IB-IM et VP'!C:C)</f>
        <v>322</v>
      </c>
      <c r="E11" s="176">
        <f>D11*'IB-IM et VP'!P3</f>
        <v>1499.9001499999997</v>
      </c>
      <c r="F11" s="135">
        <v>341</v>
      </c>
      <c r="G11" s="165"/>
      <c r="H11" s="263" t="s">
        <v>56</v>
      </c>
      <c r="I11" s="167">
        <f t="shared" ref="I11:I20" si="0">L11-D11</f>
        <v>4</v>
      </c>
      <c r="J11" s="197">
        <v>2</v>
      </c>
      <c r="K11" s="168">
        <v>2</v>
      </c>
      <c r="L11" s="168">
        <f>LOOKUP(N11,'IB-IM et VP'!A:A,'IB-IM et VP'!C:C)</f>
        <v>326</v>
      </c>
      <c r="M11" s="176">
        <f>L11*'IB-IM et VP'!P3</f>
        <v>1518.5324499999997</v>
      </c>
      <c r="N11" s="168">
        <v>348</v>
      </c>
      <c r="P11" s="195">
        <f>M1</f>
        <v>42045</v>
      </c>
    </row>
    <row r="12" spans="1:16" x14ac:dyDescent="0.25">
      <c r="B12" s="197">
        <v>3</v>
      </c>
      <c r="C12" s="135">
        <v>2</v>
      </c>
      <c r="D12" s="187">
        <f>LOOKUP(F12,'IB-IM et VP'!A:A,'IB-IM et VP'!C:C)</f>
        <v>323</v>
      </c>
      <c r="E12" s="176">
        <f>D12*'IB-IM et VP'!P3</f>
        <v>1504.5582249999998</v>
      </c>
      <c r="F12" s="135">
        <v>342</v>
      </c>
      <c r="G12" s="165"/>
      <c r="H12" s="263" t="s">
        <v>56</v>
      </c>
      <c r="I12" s="167">
        <f t="shared" si="0"/>
        <v>4</v>
      </c>
      <c r="J12" s="197">
        <v>3</v>
      </c>
      <c r="K12" s="168">
        <v>2</v>
      </c>
      <c r="L12" s="168">
        <f>LOOKUP(N12,'IB-IM et VP'!A:A,'IB-IM et VP'!C:C)</f>
        <v>327</v>
      </c>
      <c r="M12" s="176">
        <f>L12*'IB-IM et VP'!P3</f>
        <v>1523.1905249999998</v>
      </c>
      <c r="N12" s="168">
        <v>349</v>
      </c>
      <c r="P12" s="194">
        <f>M1</f>
        <v>42045</v>
      </c>
    </row>
    <row r="13" spans="1:16" x14ac:dyDescent="0.25">
      <c r="B13" s="197">
        <v>4</v>
      </c>
      <c r="C13" s="135">
        <v>2</v>
      </c>
      <c r="D13" s="187">
        <f>LOOKUP(F13,'IB-IM et VP'!A:A,'IB-IM et VP'!C:C)</f>
        <v>324</v>
      </c>
      <c r="E13" s="176">
        <f>D13*'IB-IM et VP'!P3</f>
        <v>1509.2162999999998</v>
      </c>
      <c r="F13" s="135">
        <v>343</v>
      </c>
      <c r="G13" s="165"/>
      <c r="H13" s="263" t="s">
        <v>56</v>
      </c>
      <c r="I13" s="167">
        <f t="shared" si="0"/>
        <v>4</v>
      </c>
      <c r="J13" s="197">
        <v>4</v>
      </c>
      <c r="K13" s="168">
        <v>2</v>
      </c>
      <c r="L13" s="168">
        <f>LOOKUP(N13,'IB-IM et VP'!A:A,'IB-IM et VP'!C:C)</f>
        <v>328</v>
      </c>
      <c r="M13" s="176">
        <f>L13*'IB-IM et VP'!P3</f>
        <v>1527.8485999999998</v>
      </c>
      <c r="N13" s="168">
        <v>351</v>
      </c>
      <c r="P13" s="195">
        <f>M1</f>
        <v>42045</v>
      </c>
    </row>
    <row r="14" spans="1:16" x14ac:dyDescent="0.25">
      <c r="B14" s="197">
        <v>5</v>
      </c>
      <c r="C14" s="135">
        <v>2</v>
      </c>
      <c r="D14" s="187">
        <f>LOOKUP(F14,'IB-IM et VP'!A:A,'IB-IM et VP'!C:C)</f>
        <v>325</v>
      </c>
      <c r="E14" s="176">
        <f>D14*'IB-IM et VP'!P3</f>
        <v>1513.8743749999999</v>
      </c>
      <c r="F14" s="135">
        <v>347</v>
      </c>
      <c r="G14" s="165"/>
      <c r="H14" s="263" t="s">
        <v>56</v>
      </c>
      <c r="I14" s="167">
        <f t="shared" si="0"/>
        <v>4</v>
      </c>
      <c r="J14" s="197">
        <v>5</v>
      </c>
      <c r="K14" s="168">
        <v>2</v>
      </c>
      <c r="L14" s="168">
        <f>LOOKUP(N14,'IB-IM et VP'!A:A,'IB-IM et VP'!C:C)</f>
        <v>329</v>
      </c>
      <c r="M14" s="176">
        <f>L14*'IB-IM et VP'!P3</f>
        <v>1532.5066749999999</v>
      </c>
      <c r="N14" s="168">
        <v>352</v>
      </c>
      <c r="P14" s="195">
        <f>M1</f>
        <v>42045</v>
      </c>
    </row>
    <row r="15" spans="1:16" x14ac:dyDescent="0.25">
      <c r="B15" s="197">
        <v>6</v>
      </c>
      <c r="C15" s="135">
        <v>2</v>
      </c>
      <c r="D15" s="187">
        <f>LOOKUP(F15,'IB-IM et VP'!A:A,'IB-IM et VP'!C:C)</f>
        <v>326</v>
      </c>
      <c r="E15" s="176">
        <f>D15*'IB-IM et VP'!P3</f>
        <v>1518.5324499999997</v>
      </c>
      <c r="F15" s="135">
        <v>348</v>
      </c>
      <c r="G15" s="165"/>
      <c r="H15" s="263" t="s">
        <v>56</v>
      </c>
      <c r="I15" s="167">
        <f t="shared" si="0"/>
        <v>4</v>
      </c>
      <c r="J15" s="197">
        <v>6</v>
      </c>
      <c r="K15" s="168">
        <v>2</v>
      </c>
      <c r="L15" s="168">
        <f>LOOKUP(N15,'IB-IM et VP'!A:A,'IB-IM et VP'!C:C)</f>
        <v>330</v>
      </c>
      <c r="M15" s="176">
        <f>L15*'IB-IM et VP'!P3</f>
        <v>1537.1647499999997</v>
      </c>
      <c r="N15" s="168">
        <v>354</v>
      </c>
      <c r="P15" s="195">
        <f>M1</f>
        <v>42045</v>
      </c>
    </row>
    <row r="16" spans="1:16" x14ac:dyDescent="0.25">
      <c r="B16" s="197">
        <v>7</v>
      </c>
      <c r="C16" s="135">
        <v>2</v>
      </c>
      <c r="D16" s="187">
        <f>LOOKUP(F16,'IB-IM et VP'!A:A,'IB-IM et VP'!C:C)</f>
        <v>328</v>
      </c>
      <c r="E16" s="176">
        <f>D16*'IB-IM et VP'!P3</f>
        <v>1527.8485999999998</v>
      </c>
      <c r="F16" s="135">
        <v>351</v>
      </c>
      <c r="G16" s="165"/>
      <c r="H16" s="263" t="s">
        <v>56</v>
      </c>
      <c r="I16" s="167">
        <f t="shared" si="0"/>
        <v>4</v>
      </c>
      <c r="J16" s="197">
        <v>7</v>
      </c>
      <c r="K16" s="168">
        <v>2</v>
      </c>
      <c r="L16" s="168">
        <f>LOOKUP(N16,'IB-IM et VP'!A:A,'IB-IM et VP'!C:C)</f>
        <v>332</v>
      </c>
      <c r="M16" s="176">
        <f>L16*'IB-IM et VP'!P3</f>
        <v>1546.4808999999998</v>
      </c>
      <c r="N16" s="168">
        <v>356</v>
      </c>
      <c r="P16" s="195">
        <f>M1</f>
        <v>42045</v>
      </c>
    </row>
    <row r="17" spans="2:16" x14ac:dyDescent="0.25">
      <c r="B17" s="197">
        <v>8</v>
      </c>
      <c r="C17" s="135">
        <v>3</v>
      </c>
      <c r="D17" s="187">
        <f>LOOKUP(F17,'IB-IM et VP'!A:A,'IB-IM et VP'!C:C)</f>
        <v>332</v>
      </c>
      <c r="E17" s="176">
        <f>D17*'IB-IM et VP'!P3</f>
        <v>1546.4808999999998</v>
      </c>
      <c r="F17" s="135">
        <v>356</v>
      </c>
      <c r="G17" s="165"/>
      <c r="H17" s="263" t="s">
        <v>56</v>
      </c>
      <c r="I17" s="167">
        <f t="shared" si="0"/>
        <v>4</v>
      </c>
      <c r="J17" s="197">
        <v>8</v>
      </c>
      <c r="K17" s="168">
        <v>2</v>
      </c>
      <c r="L17" s="168">
        <f>LOOKUP(N17,'IB-IM et VP'!A:A,'IB-IM et VP'!C:C)</f>
        <v>336</v>
      </c>
      <c r="M17" s="176">
        <f>L17*'IB-IM et VP'!P3</f>
        <v>1565.1131999999998</v>
      </c>
      <c r="N17" s="168">
        <v>362</v>
      </c>
      <c r="P17" s="195">
        <f>M1</f>
        <v>42045</v>
      </c>
    </row>
    <row r="18" spans="2:16" x14ac:dyDescent="0.25">
      <c r="B18" s="197">
        <v>9</v>
      </c>
      <c r="C18" s="135">
        <v>3</v>
      </c>
      <c r="D18" s="187">
        <f>LOOKUP(F18,'IB-IM et VP'!A:A,'IB-IM et VP'!C:C)</f>
        <v>338</v>
      </c>
      <c r="E18" s="176">
        <f>D18*'IB-IM et VP'!P3</f>
        <v>1574.4293499999997</v>
      </c>
      <c r="F18" s="135">
        <v>364</v>
      </c>
      <c r="G18" s="165"/>
      <c r="H18" s="263" t="s">
        <v>56</v>
      </c>
      <c r="I18" s="167">
        <f t="shared" si="0"/>
        <v>4</v>
      </c>
      <c r="J18" s="197">
        <v>9</v>
      </c>
      <c r="K18" s="168">
        <v>3</v>
      </c>
      <c r="L18" s="168">
        <f>LOOKUP(N18,'IB-IM et VP'!A:A,'IB-IM et VP'!C:C)</f>
        <v>342</v>
      </c>
      <c r="M18" s="176">
        <f>L18*'IB-IM et VP'!P3</f>
        <v>1593.0616499999999</v>
      </c>
      <c r="N18" s="168">
        <v>370</v>
      </c>
      <c r="P18" s="195">
        <f>M1</f>
        <v>42045</v>
      </c>
    </row>
    <row r="19" spans="2:16" x14ac:dyDescent="0.25">
      <c r="B19" s="197">
        <v>10</v>
      </c>
      <c r="C19" s="135">
        <v>4</v>
      </c>
      <c r="D19" s="187">
        <f>LOOKUP(F19,'IB-IM et VP'!A:A,'IB-IM et VP'!C:C)</f>
        <v>350</v>
      </c>
      <c r="E19" s="176">
        <f>D19*'IB-IM et VP'!P3</f>
        <v>1630.3262499999998</v>
      </c>
      <c r="F19" s="135">
        <v>380</v>
      </c>
      <c r="G19" s="165"/>
      <c r="H19" s="263" t="s">
        <v>56</v>
      </c>
      <c r="I19" s="167">
        <f t="shared" si="0"/>
        <v>4</v>
      </c>
      <c r="J19" s="197">
        <v>10</v>
      </c>
      <c r="K19" s="168">
        <v>3</v>
      </c>
      <c r="L19" s="168">
        <f>LOOKUP(N19,'IB-IM et VP'!A:A,'IB-IM et VP'!C:C)</f>
        <v>354</v>
      </c>
      <c r="M19" s="176">
        <f>L19*'IB-IM et VP'!P3</f>
        <v>1648.9585499999998</v>
      </c>
      <c r="N19" s="168">
        <v>386</v>
      </c>
      <c r="P19" s="195">
        <f>M1</f>
        <v>42045</v>
      </c>
    </row>
    <row r="20" spans="2:16" x14ac:dyDescent="0.25">
      <c r="B20" s="197">
        <v>11</v>
      </c>
      <c r="C20" s="135"/>
      <c r="D20" s="187">
        <f>LOOKUP(F20,'IB-IM et VP'!A:A,'IB-IM et VP'!C:C)</f>
        <v>363</v>
      </c>
      <c r="E20" s="176">
        <f>D20*'IB-IM et VP'!P3</f>
        <v>1690.8812249999999</v>
      </c>
      <c r="F20" s="135">
        <v>400</v>
      </c>
      <c r="G20" s="165"/>
      <c r="H20" s="263" t="s">
        <v>56</v>
      </c>
      <c r="I20" s="167">
        <f t="shared" si="0"/>
        <v>4</v>
      </c>
      <c r="J20" s="197">
        <v>11</v>
      </c>
      <c r="K20" s="168"/>
      <c r="L20" s="168">
        <f>LOOKUP(N20,'IB-IM et VP'!A:A,'IB-IM et VP'!C:C)</f>
        <v>367</v>
      </c>
      <c r="M20" s="176">
        <f>L20*'IB-IM et VP'!P3</f>
        <v>1709.5135249999998</v>
      </c>
      <c r="N20" s="168">
        <v>407</v>
      </c>
      <c r="P20" s="195">
        <f>M1</f>
        <v>42045</v>
      </c>
    </row>
    <row r="21" spans="2:16" x14ac:dyDescent="0.25"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</row>
    <row r="22" spans="2:16" x14ac:dyDescent="0.25"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</row>
    <row r="23" spans="2:16" x14ac:dyDescent="0.25"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</row>
    <row r="24" spans="2:16" x14ac:dyDescent="0.25"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16" x14ac:dyDescent="0.25"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</row>
    <row r="26" spans="2:16" x14ac:dyDescent="0.25"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</row>
  </sheetData>
  <sheetProtection password="EB30" sheet="1" objects="1" scenarios="1" selectLockedCells="1"/>
  <mergeCells count="10">
    <mergeCell ref="C5:E5"/>
    <mergeCell ref="H3:N3"/>
    <mergeCell ref="P5:P8"/>
    <mergeCell ref="I1:L1"/>
    <mergeCell ref="M1:P1"/>
    <mergeCell ref="B3:F3"/>
    <mergeCell ref="L5:N5"/>
    <mergeCell ref="I4:K4"/>
    <mergeCell ref="I5:K5"/>
    <mergeCell ref="I6:K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73"/>
  <sheetViews>
    <sheetView showGridLines="0" zoomScale="80" zoomScaleNormal="80" workbookViewId="0">
      <selection activeCell="N1" sqref="N1:P1"/>
    </sheetView>
  </sheetViews>
  <sheetFormatPr baseColWidth="10" defaultRowHeight="21" x14ac:dyDescent="0.25"/>
  <cols>
    <col min="1" max="1" width="25" style="265" customWidth="1"/>
    <col min="7" max="7" width="3.42578125" customWidth="1"/>
    <col min="8" max="8" width="13.140625" style="72" customWidth="1"/>
    <col min="9" max="9" width="6" style="78" customWidth="1"/>
    <col min="10" max="14" width="15.85546875" style="94" customWidth="1"/>
    <col min="15" max="15" width="3" customWidth="1"/>
    <col min="16" max="16" width="19.28515625" customWidth="1"/>
  </cols>
  <sheetData>
    <row r="1" spans="1:16" ht="27" thickBot="1" x14ac:dyDescent="0.3">
      <c r="H1" s="121"/>
      <c r="I1" s="121"/>
      <c r="J1" s="348" t="s">
        <v>165</v>
      </c>
      <c r="K1" s="349"/>
      <c r="L1" s="349"/>
      <c r="M1" s="349"/>
      <c r="N1" s="362">
        <v>42029</v>
      </c>
      <c r="O1" s="363"/>
      <c r="P1" s="363"/>
    </row>
    <row r="2" spans="1:16" ht="21.75" thickBot="1" x14ac:dyDescent="0.3">
      <c r="H2" s="121"/>
      <c r="I2" s="121"/>
      <c r="J2" s="121"/>
      <c r="K2" s="121"/>
      <c r="L2" s="121"/>
      <c r="M2" s="121"/>
      <c r="N2" s="121"/>
    </row>
    <row r="3" spans="1:16" ht="29.25" thickBot="1" x14ac:dyDescent="0.3">
      <c r="B3" s="352" t="s">
        <v>201</v>
      </c>
      <c r="C3" s="353"/>
      <c r="D3" s="353"/>
      <c r="E3" s="353"/>
      <c r="F3" s="354"/>
      <c r="G3" s="250"/>
      <c r="H3" s="357" t="s">
        <v>173</v>
      </c>
      <c r="I3" s="357"/>
      <c r="J3" s="357"/>
      <c r="K3" s="357"/>
      <c r="L3" s="357"/>
      <c r="M3" s="357"/>
    </row>
    <row r="4" spans="1:16" ht="21.75" customHeight="1" x14ac:dyDescent="0.25">
      <c r="A4" s="291" t="s">
        <v>212</v>
      </c>
      <c r="H4" s="262"/>
      <c r="I4" s="365" t="s">
        <v>264</v>
      </c>
      <c r="J4" s="366"/>
      <c r="K4" s="367"/>
      <c r="L4" s="120"/>
      <c r="M4" s="120"/>
      <c r="N4" s="121"/>
    </row>
    <row r="5" spans="1:16" ht="21.75" customHeight="1" x14ac:dyDescent="0.25">
      <c r="A5" s="292" t="s">
        <v>239</v>
      </c>
      <c r="H5" s="262"/>
      <c r="I5" s="376" t="s">
        <v>241</v>
      </c>
      <c r="J5" s="369"/>
      <c r="K5" s="370"/>
      <c r="L5" s="318"/>
      <c r="M5" s="318"/>
      <c r="N5" s="121"/>
    </row>
    <row r="6" spans="1:16" ht="21.75" customHeight="1" thickBot="1" x14ac:dyDescent="0.3">
      <c r="A6" s="292" t="s">
        <v>240</v>
      </c>
      <c r="H6" s="262"/>
      <c r="I6" s="368" t="s">
        <v>242</v>
      </c>
      <c r="J6" s="369"/>
      <c r="K6" s="370"/>
      <c r="L6" s="318"/>
      <c r="M6" s="318"/>
      <c r="N6" s="121"/>
    </row>
    <row r="7" spans="1:16" ht="21.75" customHeight="1" x14ac:dyDescent="0.35">
      <c r="A7" s="292" t="s">
        <v>243</v>
      </c>
      <c r="C7" s="374" t="s">
        <v>53</v>
      </c>
      <c r="D7" s="374"/>
      <c r="E7" s="374"/>
      <c r="H7" s="264" t="s">
        <v>111</v>
      </c>
      <c r="I7" s="368" t="s">
        <v>243</v>
      </c>
      <c r="J7" s="369"/>
      <c r="K7" s="370"/>
      <c r="L7" s="364" t="s">
        <v>87</v>
      </c>
      <c r="M7" s="364"/>
      <c r="N7" s="364"/>
      <c r="P7" s="358" t="s">
        <v>166</v>
      </c>
    </row>
    <row r="8" spans="1:16" ht="21.75" customHeight="1" x14ac:dyDescent="0.35">
      <c r="A8" s="292" t="s">
        <v>213</v>
      </c>
      <c r="C8" s="202"/>
      <c r="D8" s="202"/>
      <c r="E8" s="202"/>
      <c r="H8" s="264"/>
      <c r="I8" s="368" t="s">
        <v>244</v>
      </c>
      <c r="J8" s="369"/>
      <c r="K8" s="370"/>
      <c r="L8" s="269"/>
      <c r="M8" s="269"/>
      <c r="N8" s="121"/>
      <c r="P8" s="359"/>
    </row>
    <row r="9" spans="1:16" ht="21.75" customHeight="1" x14ac:dyDescent="0.25">
      <c r="A9" s="293" t="s">
        <v>214</v>
      </c>
      <c r="H9" s="262"/>
      <c r="I9" s="387" t="s">
        <v>265</v>
      </c>
      <c r="J9" s="388"/>
      <c r="K9" s="389"/>
      <c r="L9" s="120"/>
      <c r="M9" s="120"/>
      <c r="P9" s="359"/>
    </row>
    <row r="10" spans="1:16" ht="15" customHeight="1" x14ac:dyDescent="0.25">
      <c r="B10" s="126" t="s">
        <v>37</v>
      </c>
      <c r="C10" s="126" t="s">
        <v>38</v>
      </c>
      <c r="D10" s="184" t="s">
        <v>39</v>
      </c>
      <c r="E10" s="184" t="s">
        <v>40</v>
      </c>
      <c r="F10" s="184" t="s">
        <v>39</v>
      </c>
      <c r="G10" s="122"/>
      <c r="H10" s="158" t="s">
        <v>99</v>
      </c>
      <c r="I10" s="181" t="s">
        <v>97</v>
      </c>
      <c r="J10" s="143" t="s">
        <v>37</v>
      </c>
      <c r="K10" s="143" t="s">
        <v>38</v>
      </c>
      <c r="L10" s="183" t="s">
        <v>39</v>
      </c>
      <c r="M10" s="183" t="s">
        <v>40</v>
      </c>
      <c r="N10" s="175" t="s">
        <v>39</v>
      </c>
      <c r="P10" s="359"/>
    </row>
    <row r="11" spans="1:16" ht="21.75" thickBot="1" x14ac:dyDescent="0.3">
      <c r="B11" s="133"/>
      <c r="C11" s="125"/>
      <c r="D11" s="184" t="s">
        <v>41</v>
      </c>
      <c r="E11" s="184" t="s">
        <v>42</v>
      </c>
      <c r="F11" s="184" t="s">
        <v>43</v>
      </c>
      <c r="G11" s="122"/>
      <c r="H11" s="158"/>
      <c r="I11" s="181" t="s">
        <v>98</v>
      </c>
      <c r="J11" s="144"/>
      <c r="K11" s="144"/>
      <c r="L11" s="183" t="s">
        <v>41</v>
      </c>
      <c r="M11" s="183" t="s">
        <v>42</v>
      </c>
      <c r="N11" s="175" t="s">
        <v>43</v>
      </c>
      <c r="P11" s="360"/>
    </row>
    <row r="12" spans="1:16" x14ac:dyDescent="0.35">
      <c r="B12" s="196">
        <v>1</v>
      </c>
      <c r="C12" s="135">
        <v>1</v>
      </c>
      <c r="D12" s="135">
        <f>LOOKUP(F12,'IB-IM et VP'!A:A,'IB-IM et VP'!C:C)</f>
        <v>323</v>
      </c>
      <c r="E12" s="186">
        <f>D12*'IB-IM et VP'!P3</f>
        <v>1504.5582249999998</v>
      </c>
      <c r="F12" s="130">
        <v>342</v>
      </c>
      <c r="G12" s="122"/>
      <c r="H12" s="263" t="s">
        <v>57</v>
      </c>
      <c r="I12" s="181">
        <f>L12-D12</f>
        <v>5</v>
      </c>
      <c r="J12" s="375">
        <v>1</v>
      </c>
      <c r="K12" s="135">
        <v>1</v>
      </c>
      <c r="L12" s="168">
        <f>LOOKUP(N12,'IB-IM et VP'!A:A,'IB-IM et VP'!C:C)</f>
        <v>328</v>
      </c>
      <c r="M12" s="176">
        <f>L12*'IB-IM et VP'!P3</f>
        <v>1527.8485999999998</v>
      </c>
      <c r="N12" s="168">
        <v>351</v>
      </c>
      <c r="O12" s="190"/>
      <c r="P12" s="194">
        <f>A31</f>
        <v>42736</v>
      </c>
    </row>
    <row r="13" spans="1:16" x14ac:dyDescent="0.35">
      <c r="B13" s="196">
        <v>2</v>
      </c>
      <c r="C13" s="135">
        <v>1</v>
      </c>
      <c r="D13" s="135">
        <f>LOOKUP(F13,'IB-IM et VP'!A:A,'IB-IM et VP'!C:C)</f>
        <v>324</v>
      </c>
      <c r="E13" s="186">
        <f>D13*'IB-IM et VP'!P3</f>
        <v>1509.2162999999998</v>
      </c>
      <c r="F13" s="130">
        <v>343</v>
      </c>
      <c r="G13" s="122"/>
      <c r="H13" s="263" t="s">
        <v>56</v>
      </c>
      <c r="I13" s="181">
        <f t="shared" ref="I13:I23" si="0">L13-D13</f>
        <v>4</v>
      </c>
      <c r="J13" s="375"/>
      <c r="K13" s="135">
        <v>1</v>
      </c>
      <c r="L13" s="168">
        <f>LOOKUP(N13,'IB-IM et VP'!A:A,'IB-IM et VP'!C:C)</f>
        <v>328</v>
      </c>
      <c r="M13" s="176">
        <f>L13*'IB-IM et VP'!P3</f>
        <v>1527.8485999999998</v>
      </c>
      <c r="N13" s="168">
        <v>351</v>
      </c>
      <c r="O13" s="191"/>
      <c r="P13" s="195">
        <f>+N1</f>
        <v>42029</v>
      </c>
    </row>
    <row r="14" spans="1:16" x14ac:dyDescent="0.35">
      <c r="B14" s="196">
        <v>3</v>
      </c>
      <c r="C14" s="135">
        <v>2</v>
      </c>
      <c r="D14" s="135">
        <f>LOOKUP(F14,'IB-IM et VP'!A:A,'IB-IM et VP'!C:C)</f>
        <v>325</v>
      </c>
      <c r="E14" s="186">
        <f>D14*'IB-IM et VP'!P3</f>
        <v>1513.8743749999999</v>
      </c>
      <c r="F14" s="130">
        <v>347</v>
      </c>
      <c r="G14" s="122"/>
      <c r="H14" s="263" t="s">
        <v>57</v>
      </c>
      <c r="I14" s="181">
        <f t="shared" si="0"/>
        <v>5</v>
      </c>
      <c r="J14" s="375">
        <v>2</v>
      </c>
      <c r="K14" s="135">
        <v>2</v>
      </c>
      <c r="L14" s="168">
        <f>LOOKUP(N14,'IB-IM et VP'!A:A,'IB-IM et VP'!C:C)</f>
        <v>330</v>
      </c>
      <c r="M14" s="176">
        <f>L14*'IB-IM et VP'!P3</f>
        <v>1537.1647499999997</v>
      </c>
      <c r="N14" s="168">
        <v>354</v>
      </c>
      <c r="O14" s="191"/>
      <c r="P14" s="195">
        <f>A31</f>
        <v>42736</v>
      </c>
    </row>
    <row r="15" spans="1:16" x14ac:dyDescent="0.35">
      <c r="B15" s="196">
        <v>4</v>
      </c>
      <c r="C15" s="135">
        <v>2</v>
      </c>
      <c r="D15" s="135">
        <f>LOOKUP(F15,'IB-IM et VP'!A:A,'IB-IM et VP'!C:C)</f>
        <v>326</v>
      </c>
      <c r="E15" s="186">
        <f>D15*'IB-IM et VP'!P3</f>
        <v>1518.5324499999997</v>
      </c>
      <c r="F15" s="130">
        <v>348</v>
      </c>
      <c r="G15" s="122"/>
      <c r="H15" s="263" t="s">
        <v>56</v>
      </c>
      <c r="I15" s="181">
        <f t="shared" si="0"/>
        <v>4</v>
      </c>
      <c r="J15" s="375"/>
      <c r="K15" s="135">
        <v>2</v>
      </c>
      <c r="L15" s="168">
        <f>LOOKUP(N15,'IB-IM et VP'!A:A,'IB-IM et VP'!C:C)</f>
        <v>330</v>
      </c>
      <c r="M15" s="176">
        <f>L15*'IB-IM et VP'!P3</f>
        <v>1537.1647499999997</v>
      </c>
      <c r="N15" s="168">
        <v>354</v>
      </c>
      <c r="O15" s="190"/>
      <c r="P15" s="194">
        <f>+N1</f>
        <v>42029</v>
      </c>
    </row>
    <row r="16" spans="1:16" x14ac:dyDescent="0.35">
      <c r="B16" s="196">
        <v>5</v>
      </c>
      <c r="C16" s="135">
        <v>2</v>
      </c>
      <c r="D16" s="135">
        <f>LOOKUP(F16,'IB-IM et VP'!A:A,'IB-IM et VP'!C:C)</f>
        <v>327</v>
      </c>
      <c r="E16" s="186">
        <f>D16*'IB-IM et VP'!P3</f>
        <v>1523.1905249999998</v>
      </c>
      <c r="F16" s="130">
        <v>349</v>
      </c>
      <c r="G16" s="122"/>
      <c r="H16" s="263" t="s">
        <v>56</v>
      </c>
      <c r="I16" s="181">
        <f t="shared" si="0"/>
        <v>5</v>
      </c>
      <c r="J16" s="197">
        <v>3</v>
      </c>
      <c r="K16" s="135">
        <v>2</v>
      </c>
      <c r="L16" s="168">
        <f>LOOKUP(N16,'IB-IM et VP'!A:A,'IB-IM et VP'!C:C)</f>
        <v>332</v>
      </c>
      <c r="M16" s="176">
        <f>L16*'IB-IM et VP'!P3</f>
        <v>1546.4808999999998</v>
      </c>
      <c r="N16" s="168">
        <v>357</v>
      </c>
      <c r="O16" s="191"/>
      <c r="P16" s="195">
        <f>+N1</f>
        <v>42029</v>
      </c>
    </row>
    <row r="17" spans="1:35" x14ac:dyDescent="0.35">
      <c r="B17" s="196">
        <v>6</v>
      </c>
      <c r="C17" s="135">
        <v>2</v>
      </c>
      <c r="D17" s="135">
        <f>LOOKUP(F17,'IB-IM et VP'!A:A,'IB-IM et VP'!C:C)</f>
        <v>329</v>
      </c>
      <c r="E17" s="186">
        <f>D17*'IB-IM et VP'!P3</f>
        <v>1532.5066749999999</v>
      </c>
      <c r="F17" s="130">
        <v>352</v>
      </c>
      <c r="G17" s="122"/>
      <c r="H17" s="263" t="s">
        <v>56</v>
      </c>
      <c r="I17" s="181">
        <f t="shared" si="0"/>
        <v>7</v>
      </c>
      <c r="J17" s="197">
        <v>4</v>
      </c>
      <c r="K17" s="135">
        <v>2</v>
      </c>
      <c r="L17" s="168">
        <f>LOOKUP(N17,'IB-IM et VP'!A:A,'IB-IM et VP'!C:C)</f>
        <v>336</v>
      </c>
      <c r="M17" s="176">
        <f>L17*'IB-IM et VP'!P3</f>
        <v>1565.1131999999998</v>
      </c>
      <c r="N17" s="168">
        <v>362</v>
      </c>
      <c r="O17" s="191"/>
      <c r="P17" s="195">
        <f>N1</f>
        <v>42029</v>
      </c>
    </row>
    <row r="18" spans="1:35" x14ac:dyDescent="0.35">
      <c r="B18" s="196">
        <v>7</v>
      </c>
      <c r="C18" s="135">
        <v>2</v>
      </c>
      <c r="D18" s="135">
        <f>LOOKUP(F18,'IB-IM et VP'!A:A,'IB-IM et VP'!C:C)</f>
        <v>332</v>
      </c>
      <c r="E18" s="186">
        <f>D18*'IB-IM et VP'!P3</f>
        <v>1546.4808999999998</v>
      </c>
      <c r="F18" s="130">
        <v>356</v>
      </c>
      <c r="G18" s="122"/>
      <c r="H18" s="263" t="s">
        <v>56</v>
      </c>
      <c r="I18" s="181">
        <f t="shared" si="0"/>
        <v>11</v>
      </c>
      <c r="J18" s="197">
        <v>5</v>
      </c>
      <c r="K18" s="135">
        <v>2</v>
      </c>
      <c r="L18" s="168">
        <f>LOOKUP(N18,'IB-IM et VP'!A:A,'IB-IM et VP'!C:C)</f>
        <v>343</v>
      </c>
      <c r="M18" s="176">
        <f>L18*'IB-IM et VP'!P3</f>
        <v>1597.7197249999997</v>
      </c>
      <c r="N18" s="168">
        <v>372</v>
      </c>
      <c r="O18" s="191"/>
      <c r="P18" s="195">
        <f>N1</f>
        <v>42029</v>
      </c>
    </row>
    <row r="19" spans="1:35" x14ac:dyDescent="0.35">
      <c r="B19" s="196">
        <v>8</v>
      </c>
      <c r="C19" s="135">
        <v>3</v>
      </c>
      <c r="D19" s="135">
        <f>LOOKUP(F19,'IB-IM et VP'!A:A,'IB-IM et VP'!C:C)</f>
        <v>345</v>
      </c>
      <c r="E19" s="186">
        <f>D19*'IB-IM et VP'!P3</f>
        <v>1607.0358749999998</v>
      </c>
      <c r="F19" s="130">
        <v>374</v>
      </c>
      <c r="G19" s="122"/>
      <c r="H19" s="263" t="s">
        <v>58</v>
      </c>
      <c r="I19" s="181">
        <f t="shared" si="0"/>
        <v>5</v>
      </c>
      <c r="J19" s="197">
        <v>6</v>
      </c>
      <c r="K19" s="135">
        <v>2</v>
      </c>
      <c r="L19" s="168">
        <f>LOOKUP(N19,'IB-IM et VP'!A:A,'IB-IM et VP'!C:C)</f>
        <v>350</v>
      </c>
      <c r="M19" s="176">
        <f>L19*'IB-IM et VP'!P3</f>
        <v>1630.3262499999998</v>
      </c>
      <c r="N19" s="168">
        <v>380</v>
      </c>
      <c r="O19" s="191"/>
      <c r="P19" s="195">
        <f>W34</f>
        <v>42264.666666666664</v>
      </c>
    </row>
    <row r="20" spans="1:35" x14ac:dyDescent="0.35">
      <c r="B20" s="196">
        <v>9</v>
      </c>
      <c r="C20" s="135">
        <v>3</v>
      </c>
      <c r="D20" s="135">
        <f>LOOKUP(F20,'IB-IM et VP'!A:A,'IB-IM et VP'!C:C)</f>
        <v>354</v>
      </c>
      <c r="E20" s="186">
        <f>D20*'IB-IM et VP'!P3</f>
        <v>1648.9585499999998</v>
      </c>
      <c r="F20" s="130">
        <v>386</v>
      </c>
      <c r="G20" s="122"/>
      <c r="H20" s="263" t="s">
        <v>58</v>
      </c>
      <c r="I20" s="181">
        <f t="shared" si="0"/>
        <v>10</v>
      </c>
      <c r="J20" s="197">
        <v>7</v>
      </c>
      <c r="K20" s="135">
        <v>2</v>
      </c>
      <c r="L20" s="168">
        <f>LOOKUP(N20,'IB-IM et VP'!A:A,'IB-IM et VP'!C:C)</f>
        <v>364</v>
      </c>
      <c r="M20" s="176">
        <f>L20*'IB-IM et VP'!P3</f>
        <v>1695.5392999999997</v>
      </c>
      <c r="N20" s="168">
        <v>403</v>
      </c>
      <c r="O20" s="191"/>
      <c r="P20" s="195">
        <f>W34</f>
        <v>42264.666666666664</v>
      </c>
    </row>
    <row r="21" spans="1:35" x14ac:dyDescent="0.35">
      <c r="B21" s="196">
        <v>10</v>
      </c>
      <c r="C21" s="135">
        <v>4</v>
      </c>
      <c r="D21" s="135">
        <f>LOOKUP(F21,'IB-IM et VP'!A:A,'IB-IM et VP'!C:C)</f>
        <v>368</v>
      </c>
      <c r="E21" s="186">
        <f>D21*'IB-IM et VP'!P3</f>
        <v>1714.1715999999997</v>
      </c>
      <c r="F21" s="130">
        <v>409</v>
      </c>
      <c r="G21" s="122"/>
      <c r="H21" s="263" t="s">
        <v>57</v>
      </c>
      <c r="I21" s="181">
        <f t="shared" si="0"/>
        <v>12</v>
      </c>
      <c r="J21" s="375">
        <v>8</v>
      </c>
      <c r="K21" s="135">
        <v>2</v>
      </c>
      <c r="L21" s="168">
        <f>LOOKUP(N21,'IB-IM et VP'!A:A,'IB-IM et VP'!C:C)</f>
        <v>380</v>
      </c>
      <c r="M21" s="176">
        <f>L21*'IB-IM et VP'!P3</f>
        <v>1770.0684999999996</v>
      </c>
      <c r="N21" s="168">
        <v>430</v>
      </c>
      <c r="O21" s="191"/>
      <c r="P21" s="195">
        <f>A31</f>
        <v>42736</v>
      </c>
    </row>
    <row r="22" spans="1:35" x14ac:dyDescent="0.35">
      <c r="B22" s="196">
        <v>11</v>
      </c>
      <c r="C22" s="135">
        <v>4</v>
      </c>
      <c r="D22" s="135">
        <f>LOOKUP(F22,'IB-IM et VP'!A:A,'IB-IM et VP'!C:C)</f>
        <v>375</v>
      </c>
      <c r="E22" s="186">
        <f>D22*'IB-IM et VP'!P3</f>
        <v>1746.7781249999998</v>
      </c>
      <c r="F22" s="130">
        <v>422</v>
      </c>
      <c r="G22" s="122"/>
      <c r="H22" s="263" t="s">
        <v>110</v>
      </c>
      <c r="I22" s="181">
        <f t="shared" si="0"/>
        <v>5</v>
      </c>
      <c r="J22" s="375"/>
      <c r="K22" s="135">
        <v>2</v>
      </c>
      <c r="L22" s="168">
        <f>LOOKUP(N22,'IB-IM et VP'!A:A,'IB-IM et VP'!C:C)</f>
        <v>380</v>
      </c>
      <c r="M22" s="176">
        <f>L22*'IB-IM et VP'!P3</f>
        <v>1770.0684999999996</v>
      </c>
      <c r="N22" s="168">
        <v>430</v>
      </c>
      <c r="O22" s="191"/>
      <c r="P22" s="195">
        <f>K34</f>
        <v>42382.5</v>
      </c>
    </row>
    <row r="23" spans="1:35" x14ac:dyDescent="0.35">
      <c r="B23" s="196">
        <v>12</v>
      </c>
      <c r="C23" s="135"/>
      <c r="D23" s="135">
        <f>LOOKUP(F23,'IB-IM et VP'!A:A,'IB-IM et VP'!C:C)</f>
        <v>382</v>
      </c>
      <c r="E23" s="186">
        <f>D23*'IB-IM et VP'!P3</f>
        <v>1779.3846499999997</v>
      </c>
      <c r="F23" s="130">
        <v>432</v>
      </c>
      <c r="G23" s="122"/>
      <c r="H23" s="263" t="s">
        <v>56</v>
      </c>
      <c r="I23" s="181">
        <f t="shared" si="0"/>
        <v>8</v>
      </c>
      <c r="J23" s="197">
        <v>9</v>
      </c>
      <c r="K23" s="135">
        <v>3</v>
      </c>
      <c r="L23" s="168">
        <f>LOOKUP(N23,'IB-IM et VP'!A:A,'IB-IM et VP'!C:C)</f>
        <v>390</v>
      </c>
      <c r="M23" s="176">
        <f>L23*'IB-IM et VP'!P3</f>
        <v>1816.6492499999997</v>
      </c>
      <c r="N23" s="168">
        <v>444</v>
      </c>
      <c r="O23" s="191"/>
      <c r="P23" s="195">
        <f>N1</f>
        <v>42029</v>
      </c>
    </row>
    <row r="24" spans="1:35" x14ac:dyDescent="0.25">
      <c r="B24" s="122"/>
      <c r="C24" s="122"/>
      <c r="D24" s="122"/>
      <c r="E24" s="122"/>
      <c r="F24" s="122"/>
      <c r="G24" s="122"/>
      <c r="H24" s="165"/>
      <c r="I24" s="165"/>
      <c r="J24" s="197">
        <v>10</v>
      </c>
      <c r="K24" s="135">
        <v>3</v>
      </c>
      <c r="L24" s="168">
        <f>LOOKUP(N24,'IB-IM et VP'!A:A,'IB-IM et VP'!C:C)</f>
        <v>402</v>
      </c>
      <c r="M24" s="176">
        <f>L24*'IB-IM et VP'!P3</f>
        <v>1872.5461499999997</v>
      </c>
      <c r="N24" s="168">
        <v>459</v>
      </c>
    </row>
    <row r="25" spans="1:35" x14ac:dyDescent="0.25">
      <c r="B25" s="122"/>
      <c r="C25" s="122"/>
      <c r="D25" s="122"/>
      <c r="E25" s="122"/>
      <c r="F25" s="122"/>
      <c r="G25" s="122"/>
      <c r="H25" s="165"/>
      <c r="I25" s="165"/>
      <c r="J25" s="197">
        <v>11</v>
      </c>
      <c r="K25" s="135">
        <v>4</v>
      </c>
      <c r="L25" s="168">
        <f>LOOKUP(N25,'IB-IM et VP'!A:A,'IB-IM et VP'!C:C)</f>
        <v>411</v>
      </c>
      <c r="M25" s="176">
        <f>L25*'IB-IM et VP'!P3</f>
        <v>1914.4688249999997</v>
      </c>
      <c r="N25" s="168">
        <v>471</v>
      </c>
    </row>
    <row r="26" spans="1:35" x14ac:dyDescent="0.25">
      <c r="B26" s="122"/>
      <c r="C26" s="122"/>
      <c r="D26" s="122"/>
      <c r="E26" s="122"/>
      <c r="F26" s="122"/>
      <c r="G26" s="122"/>
      <c r="H26" s="165"/>
      <c r="I26" s="165"/>
      <c r="J26" s="197">
        <v>12</v>
      </c>
      <c r="K26" s="135"/>
      <c r="L26" s="168">
        <f>LOOKUP(N26,'IB-IM et VP'!A:A,'IB-IM et VP'!C:C)</f>
        <v>416</v>
      </c>
      <c r="M26" s="176">
        <f>L26*'IB-IM et VP'!P3</f>
        <v>1937.7591999999997</v>
      </c>
      <c r="N26" s="168">
        <v>479</v>
      </c>
    </row>
    <row r="27" spans="1:35" x14ac:dyDescent="0.25">
      <c r="B27" s="122"/>
      <c r="C27" s="122"/>
      <c r="D27" s="122"/>
      <c r="E27" s="122"/>
      <c r="F27" s="122"/>
      <c r="G27" s="122"/>
      <c r="H27" s="165"/>
      <c r="I27" s="165"/>
      <c r="J27" s="165"/>
      <c r="K27" s="165"/>
      <c r="L27" s="165"/>
      <c r="M27" s="165"/>
      <c r="N27" s="165"/>
    </row>
    <row r="28" spans="1:35" x14ac:dyDescent="0.25">
      <c r="B28" s="122"/>
      <c r="C28" s="122"/>
      <c r="D28" s="122"/>
      <c r="E28" s="122"/>
      <c r="F28" s="122"/>
      <c r="G28" s="122"/>
      <c r="H28" s="165"/>
      <c r="I28" s="165"/>
      <c r="J28" s="165"/>
      <c r="K28" s="165"/>
      <c r="L28" s="165"/>
      <c r="M28" s="165"/>
      <c r="N28" s="165"/>
    </row>
    <row r="29" spans="1:35" hidden="1" x14ac:dyDescent="0.25">
      <c r="B29" s="122"/>
      <c r="C29" s="122"/>
      <c r="D29" s="122"/>
      <c r="E29" s="122"/>
      <c r="F29" s="122"/>
      <c r="G29" s="122"/>
      <c r="H29" s="165"/>
      <c r="I29" s="165"/>
      <c r="J29" s="165"/>
      <c r="K29" s="165"/>
      <c r="L29" s="165"/>
      <c r="M29" s="165"/>
      <c r="N29" s="165"/>
    </row>
    <row r="30" spans="1:35" ht="21.75" hidden="1" thickBot="1" x14ac:dyDescent="0.3">
      <c r="H30"/>
      <c r="I30"/>
      <c r="J30"/>
      <c r="K30"/>
      <c r="L30"/>
      <c r="M30"/>
      <c r="N30"/>
      <c r="AE30" s="101"/>
    </row>
    <row r="31" spans="1:35" s="40" customFormat="1" ht="15" hidden="1" customHeight="1" thickBot="1" x14ac:dyDescent="0.3">
      <c r="A31" s="377">
        <v>42736</v>
      </c>
      <c r="B31" s="378"/>
      <c r="C31" s="379"/>
      <c r="D31" s="380"/>
      <c r="E31" s="42"/>
      <c r="F31" s="43"/>
      <c r="G31" s="43"/>
      <c r="H31" s="381" t="s">
        <v>75</v>
      </c>
      <c r="I31" s="382"/>
      <c r="J31" s="382"/>
      <c r="K31" s="383"/>
      <c r="L31" s="44"/>
      <c r="M31" s="45"/>
      <c r="N31" s="384" t="s">
        <v>76</v>
      </c>
      <c r="O31" s="385"/>
      <c r="P31" s="385"/>
      <c r="Q31" s="386"/>
      <c r="R31" s="44"/>
      <c r="S31" s="45"/>
      <c r="T31" s="384" t="s">
        <v>77</v>
      </c>
      <c r="U31" s="385"/>
      <c r="V31" s="385"/>
      <c r="W31" s="386"/>
      <c r="X31" s="46"/>
      <c r="Y31" s="45"/>
      <c r="Z31" s="384" t="s">
        <v>78</v>
      </c>
      <c r="AA31" s="385"/>
      <c r="AB31" s="385"/>
      <c r="AC31" s="386"/>
      <c r="AE31" s="102"/>
      <c r="AF31" s="384" t="s">
        <v>138</v>
      </c>
      <c r="AG31" s="385"/>
      <c r="AH31" s="385"/>
      <c r="AI31" s="386"/>
    </row>
    <row r="32" spans="1:35" ht="23.25" hidden="1" thickBot="1" x14ac:dyDescent="0.3">
      <c r="A32" s="268"/>
      <c r="B32" s="47"/>
      <c r="C32" s="48" t="s">
        <v>79</v>
      </c>
      <c r="D32" s="49" t="s">
        <v>80</v>
      </c>
      <c r="E32" s="49"/>
      <c r="F32" s="49"/>
      <c r="G32" s="49"/>
      <c r="H32" s="50" t="s">
        <v>81</v>
      </c>
      <c r="I32" s="51" t="s">
        <v>82</v>
      </c>
      <c r="J32" s="51" t="s">
        <v>83</v>
      </c>
      <c r="K32" s="52" t="s">
        <v>84</v>
      </c>
      <c r="L32" s="53"/>
      <c r="M32" s="54"/>
      <c r="N32" s="50" t="s">
        <v>81</v>
      </c>
      <c r="O32" s="51" t="s">
        <v>82</v>
      </c>
      <c r="P32" s="51" t="s">
        <v>83</v>
      </c>
      <c r="Q32" s="55" t="s">
        <v>84</v>
      </c>
      <c r="R32" s="53"/>
      <c r="S32" s="54"/>
      <c r="T32" s="50" t="s">
        <v>81</v>
      </c>
      <c r="U32" s="51" t="s">
        <v>82</v>
      </c>
      <c r="V32" s="51" t="s">
        <v>83</v>
      </c>
      <c r="W32" s="55" t="s">
        <v>84</v>
      </c>
      <c r="X32" s="56"/>
      <c r="Y32" s="57"/>
      <c r="Z32" s="50" t="s">
        <v>81</v>
      </c>
      <c r="AA32" s="51" t="s">
        <v>82</v>
      </c>
      <c r="AB32" s="51" t="s">
        <v>83</v>
      </c>
      <c r="AC32" s="55" t="s">
        <v>84</v>
      </c>
      <c r="AE32" s="103"/>
      <c r="AF32" s="50" t="s">
        <v>81</v>
      </c>
      <c r="AG32" s="51" t="s">
        <v>82</v>
      </c>
      <c r="AH32" s="51" t="s">
        <v>83</v>
      </c>
      <c r="AI32" s="55" t="s">
        <v>84</v>
      </c>
    </row>
    <row r="33" spans="2:35" ht="22.5" hidden="1" thickTop="1" thickBot="1" x14ac:dyDescent="0.3">
      <c r="H33" s="12"/>
      <c r="I33" s="12"/>
      <c r="J33" s="12"/>
      <c r="K33" s="12"/>
      <c r="L33"/>
      <c r="M33"/>
      <c r="N33" s="12"/>
      <c r="O33" s="12"/>
      <c r="P33" s="12"/>
      <c r="Q33" s="12"/>
      <c r="T33" s="12"/>
      <c r="U33" s="12"/>
      <c r="V33" s="12"/>
      <c r="W33" s="12"/>
      <c r="Z33" s="12"/>
      <c r="AA33" s="12"/>
      <c r="AB33" s="12"/>
      <c r="AC33" s="12"/>
      <c r="AE33" s="101"/>
      <c r="AF33" s="12"/>
      <c r="AG33" s="12"/>
      <c r="AH33" s="12"/>
      <c r="AI33" s="12"/>
    </row>
    <row r="34" spans="2:35" ht="22.5" hidden="1" thickTop="1" thickBot="1" x14ac:dyDescent="0.3">
      <c r="B34" s="41">
        <f>A31</f>
        <v>42736</v>
      </c>
      <c r="C34" s="58">
        <f>N1</f>
        <v>42029</v>
      </c>
      <c r="D34" s="59">
        <f>E34/30.5</f>
        <v>23.180327868852459</v>
      </c>
      <c r="E34" s="60">
        <f>B34-C34</f>
        <v>707</v>
      </c>
      <c r="F34" s="61"/>
      <c r="G34" s="61">
        <f>E34*1/2</f>
        <v>353.5</v>
      </c>
      <c r="H34" s="62">
        <f>INT(D34*1/2/12)</f>
        <v>0</v>
      </c>
      <c r="I34" s="63">
        <f>INT(D34*1/2-(H34*12))</f>
        <v>11</v>
      </c>
      <c r="J34" s="64">
        <f>ROUND((D34*1/2-(H34*12)-I34)*30,0)</f>
        <v>18</v>
      </c>
      <c r="K34" s="86">
        <f>B34-G34</f>
        <v>42382.5</v>
      </c>
      <c r="L34" s="65"/>
      <c r="M34" s="66">
        <f>E34*3/4</f>
        <v>530.25</v>
      </c>
      <c r="N34" s="62">
        <f>INT(D34*3/4/12)</f>
        <v>1</v>
      </c>
      <c r="O34" s="63">
        <f>INT(D34*3/4-(N34*12))</f>
        <v>5</v>
      </c>
      <c r="P34" s="64">
        <f>ROUND((D34*3/4-(N34*12)-O34)*30,0)</f>
        <v>12</v>
      </c>
      <c r="Q34" s="87">
        <f>B34-M34</f>
        <v>42205.75</v>
      </c>
      <c r="R34" s="65"/>
      <c r="S34" s="61">
        <f>E34*2/3</f>
        <v>471.33333333333331</v>
      </c>
      <c r="T34" s="62">
        <f>INT(D34*2/3/12)</f>
        <v>1</v>
      </c>
      <c r="U34" s="63">
        <f>INT(D34*2/3-(T34*12))</f>
        <v>3</v>
      </c>
      <c r="V34" s="64">
        <f>ROUND((D34*2/3-(T34*12)-U34)*30,0)</f>
        <v>14</v>
      </c>
      <c r="W34" s="87">
        <f>B34-S34</f>
        <v>42264.666666666664</v>
      </c>
      <c r="X34" s="67"/>
      <c r="Y34" s="66">
        <f>E34*4/3</f>
        <v>942.66666666666663</v>
      </c>
      <c r="Z34" s="62">
        <f>INT(D34*4/3/12)</f>
        <v>2</v>
      </c>
      <c r="AA34" s="63">
        <f>INT(D34*4/3-(Z34*12))</f>
        <v>6</v>
      </c>
      <c r="AB34" s="64">
        <f>ROUND((D34*4/3-(Z34*12)-AA34)*30,0)</f>
        <v>27</v>
      </c>
      <c r="AC34" s="87">
        <f>B34-Y34</f>
        <v>41793.333333333336</v>
      </c>
      <c r="AE34" s="100">
        <f>E34*2</f>
        <v>1414</v>
      </c>
      <c r="AF34" s="62">
        <f>INT(J34*4/3/12)</f>
        <v>2</v>
      </c>
      <c r="AG34" s="63">
        <f>INT(J34*4/3-(AF34*12))</f>
        <v>0</v>
      </c>
      <c r="AH34" s="64">
        <f>ROUND((J34*4/3-(AF34*12)-AG34)*30,0)</f>
        <v>0</v>
      </c>
      <c r="AI34" s="87">
        <f>C34-AE34</f>
        <v>40615</v>
      </c>
    </row>
    <row r="35" spans="2:35" hidden="1" x14ac:dyDescent="0.25">
      <c r="B35" s="41"/>
      <c r="C35" s="75"/>
      <c r="D35" s="76"/>
      <c r="E35" s="60"/>
      <c r="F35" s="61"/>
      <c r="G35" s="61"/>
      <c r="H35" s="70"/>
      <c r="I35" s="70"/>
      <c r="J35" s="73"/>
      <c r="K35" s="77"/>
      <c r="L35" s="61"/>
      <c r="M35" s="66"/>
      <c r="N35" s="70"/>
      <c r="O35" s="70"/>
      <c r="P35" s="73"/>
      <c r="Q35" s="67"/>
      <c r="R35" s="61"/>
      <c r="S35" s="61"/>
      <c r="T35" s="70"/>
      <c r="U35" s="70"/>
      <c r="V35" s="73"/>
      <c r="W35" s="67"/>
      <c r="X35" s="67"/>
      <c r="Y35" s="66"/>
      <c r="Z35" s="70"/>
      <c r="AA35" s="70"/>
      <c r="AB35" s="73"/>
      <c r="AC35" s="67"/>
      <c r="AE35" s="101"/>
    </row>
    <row r="36" spans="2:35" ht="21.75" hidden="1" thickBot="1" x14ac:dyDescent="0.3">
      <c r="F36" s="12"/>
      <c r="H36"/>
      <c r="I36"/>
      <c r="J36"/>
      <c r="K36"/>
      <c r="L36"/>
      <c r="M36"/>
      <c r="N36"/>
      <c r="AE36" s="101"/>
    </row>
    <row r="37" spans="2:35" ht="12.75" hidden="1" customHeight="1" x14ac:dyDescent="0.25">
      <c r="F37" s="12"/>
      <c r="H37" s="381" t="s">
        <v>85</v>
      </c>
      <c r="I37" s="382"/>
      <c r="J37" s="382"/>
      <c r="K37" s="383"/>
      <c r="L37"/>
      <c r="M37"/>
      <c r="N37" s="384" t="s">
        <v>90</v>
      </c>
      <c r="O37" s="385"/>
      <c r="P37" s="385"/>
      <c r="Q37" s="386"/>
      <c r="T37" s="384" t="s">
        <v>91</v>
      </c>
      <c r="U37" s="385"/>
      <c r="V37" s="385"/>
      <c r="W37" s="386"/>
      <c r="Z37" s="384" t="s">
        <v>132</v>
      </c>
      <c r="AA37" s="385"/>
      <c r="AB37" s="385"/>
      <c r="AC37" s="386"/>
      <c r="AE37" s="101"/>
      <c r="AF37" s="384" t="s">
        <v>141</v>
      </c>
      <c r="AG37" s="385"/>
      <c r="AH37" s="385"/>
      <c r="AI37" s="386"/>
    </row>
    <row r="38" spans="2:35" ht="23.25" hidden="1" thickBot="1" x14ac:dyDescent="0.3">
      <c r="F38" s="12"/>
      <c r="H38" s="50" t="s">
        <v>81</v>
      </c>
      <c r="I38" s="51" t="s">
        <v>82</v>
      </c>
      <c r="J38" s="51" t="s">
        <v>83</v>
      </c>
      <c r="K38" s="55" t="s">
        <v>84</v>
      </c>
      <c r="L38"/>
      <c r="M38"/>
      <c r="N38" s="50" t="s">
        <v>81</v>
      </c>
      <c r="O38" s="51" t="s">
        <v>82</v>
      </c>
      <c r="P38" s="51" t="s">
        <v>83</v>
      </c>
      <c r="Q38" s="55" t="s">
        <v>84</v>
      </c>
      <c r="T38" s="50" t="s">
        <v>81</v>
      </c>
      <c r="U38" s="51" t="s">
        <v>82</v>
      </c>
      <c r="V38" s="51" t="s">
        <v>83</v>
      </c>
      <c r="W38" s="55" t="s">
        <v>84</v>
      </c>
      <c r="Z38" s="50" t="s">
        <v>81</v>
      </c>
      <c r="AA38" s="51" t="s">
        <v>82</v>
      </c>
      <c r="AB38" s="51" t="s">
        <v>83</v>
      </c>
      <c r="AC38" s="55" t="s">
        <v>84</v>
      </c>
      <c r="AE38" s="101"/>
      <c r="AF38" s="50" t="s">
        <v>81</v>
      </c>
      <c r="AG38" s="51" t="s">
        <v>82</v>
      </c>
      <c r="AH38" s="51" t="s">
        <v>83</v>
      </c>
      <c r="AI38" s="55" t="s">
        <v>84</v>
      </c>
    </row>
    <row r="39" spans="2:35" ht="6" hidden="1" customHeight="1" thickBot="1" x14ac:dyDescent="0.3">
      <c r="F39" s="12"/>
      <c r="H39"/>
      <c r="I39"/>
      <c r="J39"/>
      <c r="K39"/>
      <c r="L39"/>
      <c r="M39"/>
      <c r="N39"/>
      <c r="AE39" s="101"/>
    </row>
    <row r="40" spans="2:35" ht="22.5" hidden="1" thickTop="1" thickBot="1" x14ac:dyDescent="0.3">
      <c r="B40" s="41">
        <f>A31</f>
        <v>42736</v>
      </c>
      <c r="C40" s="58">
        <f>N1</f>
        <v>42029</v>
      </c>
      <c r="D40" s="59">
        <f>E40/30.5</f>
        <v>23.180327868852459</v>
      </c>
      <c r="E40" s="60">
        <f>B40-C40</f>
        <v>707</v>
      </c>
      <c r="F40" s="61"/>
      <c r="G40" s="61">
        <f>E40*3/2</f>
        <v>1060.5</v>
      </c>
      <c r="H40" s="62">
        <f>INT(D40*3/2/12)</f>
        <v>2</v>
      </c>
      <c r="I40" s="63">
        <f>INT(D40*3/2-(H40*12))</f>
        <v>10</v>
      </c>
      <c r="J40" s="64">
        <f>ROUND((D40*3/2-(H40*12)-I40)*30,0)</f>
        <v>23</v>
      </c>
      <c r="K40" s="86">
        <f>B40-G40</f>
        <v>41675.5</v>
      </c>
      <c r="L40" s="65"/>
      <c r="M40" s="66">
        <f>E40*5/4</f>
        <v>883.75</v>
      </c>
      <c r="N40" s="62">
        <f>INT(D40*5/4/12)</f>
        <v>2</v>
      </c>
      <c r="O40" s="63">
        <f>INT(D40*5/4-(N40*12))</f>
        <v>4</v>
      </c>
      <c r="P40" s="64">
        <f>ROUND((D40*5/4-(N40*12)-O40)*30,0)</f>
        <v>29</v>
      </c>
      <c r="Q40" s="87">
        <f>B40-M40</f>
        <v>41852.25</v>
      </c>
      <c r="R40" s="65"/>
      <c r="S40" s="61">
        <f>E40*5/6</f>
        <v>589.16666666666663</v>
      </c>
      <c r="T40" s="62">
        <f>INT(D40*5/6/12)</f>
        <v>1</v>
      </c>
      <c r="U40" s="63">
        <f>INT(D40*5/6-(T40*12))</f>
        <v>7</v>
      </c>
      <c r="V40" s="64">
        <f>ROUND((D40*5/6-(T40*12)-U40)*30,0)</f>
        <v>10</v>
      </c>
      <c r="W40" s="87">
        <f>B40-S40</f>
        <v>42146.833333333336</v>
      </c>
      <c r="X40" s="67"/>
      <c r="Y40" s="66">
        <f>E40*7/6</f>
        <v>824.83333333333337</v>
      </c>
      <c r="Z40" s="62">
        <f>INT(D40*7/6/12)</f>
        <v>2</v>
      </c>
      <c r="AA40" s="63">
        <f>INT(D40*7/6-(Z40*12))</f>
        <v>3</v>
      </c>
      <c r="AB40" s="64">
        <f>ROUND((D40*7/6-(Z40*12)-AA40)*30,0)</f>
        <v>1</v>
      </c>
      <c r="AC40" s="87">
        <f>B40-Y40</f>
        <v>41911.166666666664</v>
      </c>
      <c r="AE40" s="100">
        <f>E40*6/7</f>
        <v>606</v>
      </c>
      <c r="AF40" s="62">
        <f>INT(J40*7/6/12)</f>
        <v>2</v>
      </c>
      <c r="AG40" s="63">
        <f>INT(J40*7/6-(AF40*12))</f>
        <v>2</v>
      </c>
      <c r="AH40" s="64">
        <f>ROUND((J40*7/6-(AF40*12)-AG40)*30,0)</f>
        <v>25</v>
      </c>
      <c r="AI40" s="87">
        <f>B40-AE40</f>
        <v>42130</v>
      </c>
    </row>
    <row r="41" spans="2:35" hidden="1" x14ac:dyDescent="0.25">
      <c r="F41" s="12"/>
      <c r="H41"/>
      <c r="I41"/>
      <c r="J41"/>
      <c r="K41"/>
      <c r="L41"/>
      <c r="M41"/>
      <c r="N41"/>
      <c r="AE41" s="101"/>
    </row>
    <row r="42" spans="2:35" ht="21.75" hidden="1" thickBot="1" x14ac:dyDescent="0.3">
      <c r="F42" s="12"/>
      <c r="H42"/>
      <c r="I42"/>
      <c r="J42"/>
      <c r="K42"/>
      <c r="L42"/>
      <c r="M42"/>
      <c r="N42"/>
      <c r="AE42" s="101"/>
    </row>
    <row r="43" spans="2:35" ht="27.75" hidden="1" customHeight="1" x14ac:dyDescent="0.25">
      <c r="F43" s="12"/>
      <c r="H43" s="384" t="s">
        <v>92</v>
      </c>
      <c r="I43" s="385"/>
      <c r="J43" s="385"/>
      <c r="K43" s="386"/>
      <c r="L43"/>
      <c r="M43"/>
      <c r="N43" s="384" t="s">
        <v>93</v>
      </c>
      <c r="O43" s="385"/>
      <c r="P43" s="385"/>
      <c r="Q43" s="386"/>
      <c r="T43" s="384" t="s">
        <v>142</v>
      </c>
      <c r="U43" s="385"/>
      <c r="V43" s="385"/>
      <c r="W43" s="386"/>
      <c r="AE43" s="101"/>
    </row>
    <row r="44" spans="2:35" ht="23.25" hidden="1" thickBot="1" x14ac:dyDescent="0.3">
      <c r="F44" s="12"/>
      <c r="H44" s="50" t="s">
        <v>81</v>
      </c>
      <c r="I44" s="51" t="s">
        <v>82</v>
      </c>
      <c r="J44" s="51" t="s">
        <v>83</v>
      </c>
      <c r="K44" s="55" t="s">
        <v>84</v>
      </c>
      <c r="L44"/>
      <c r="M44"/>
      <c r="N44" s="50" t="s">
        <v>81</v>
      </c>
      <c r="O44" s="51" t="s">
        <v>82</v>
      </c>
      <c r="P44" s="51" t="s">
        <v>83</v>
      </c>
      <c r="Q44" s="55" t="s">
        <v>84</v>
      </c>
      <c r="T44" s="50"/>
      <c r="U44" s="51"/>
      <c r="V44" s="51"/>
      <c r="W44" s="55"/>
      <c r="AE44" s="101"/>
    </row>
    <row r="45" spans="2:35" ht="6" hidden="1" customHeight="1" thickBot="1" x14ac:dyDescent="0.3">
      <c r="F45" s="12"/>
      <c r="H45"/>
      <c r="I45"/>
      <c r="J45"/>
      <c r="K45"/>
      <c r="L45"/>
      <c r="M45"/>
      <c r="N45"/>
      <c r="AE45" s="101"/>
    </row>
    <row r="46" spans="2:35" ht="22.5" hidden="1" thickTop="1" thickBot="1" x14ac:dyDescent="0.3">
      <c r="B46" s="41">
        <f>A31</f>
        <v>42736</v>
      </c>
      <c r="C46" s="58">
        <f>N1+(6*30.5)-1</f>
        <v>42211</v>
      </c>
      <c r="D46" s="59">
        <f>E46/30.5</f>
        <v>17.21311475409836</v>
      </c>
      <c r="E46" s="60">
        <f>B46-C46</f>
        <v>525</v>
      </c>
      <c r="F46" s="61"/>
      <c r="G46" s="61">
        <f>E46*2/3</f>
        <v>350</v>
      </c>
      <c r="H46" s="62">
        <f>INT(D46*2/3/12)</f>
        <v>0</v>
      </c>
      <c r="I46" s="63">
        <f>INT(D46*2/3-(H46*12))</f>
        <v>11</v>
      </c>
      <c r="J46" s="64">
        <f>ROUND((D46*2/3-(H46*12)-I46)*30,0)</f>
        <v>14</v>
      </c>
      <c r="K46" s="86">
        <f>B46-G46</f>
        <v>42386</v>
      </c>
      <c r="L46" s="65"/>
      <c r="M46" s="66">
        <f>E46*4/3</f>
        <v>700</v>
      </c>
      <c r="N46" s="62">
        <f>INT(D46*4/3/12)</f>
        <v>1</v>
      </c>
      <c r="O46" s="63">
        <f>INT(D46*4/3-(N46*12))</f>
        <v>10</v>
      </c>
      <c r="P46" s="64">
        <f>ROUND((D46*4/3-(N46*12)-O46)*30,0)</f>
        <v>29</v>
      </c>
      <c r="Q46" s="87">
        <f>B46-M46</f>
        <v>42036</v>
      </c>
      <c r="R46" s="61"/>
      <c r="S46" s="61">
        <f>E34*1/3</f>
        <v>235.66666666666666</v>
      </c>
      <c r="T46" s="62">
        <f>INT(D34*1/3/12)</f>
        <v>0</v>
      </c>
      <c r="U46" s="63">
        <f>INT(D34*1/3-(T46*12))</f>
        <v>7</v>
      </c>
      <c r="V46" s="64">
        <f>ROUND((D34*1/3-(T46*12)-U46)*30,0)</f>
        <v>22</v>
      </c>
      <c r="W46" s="87">
        <f>B34-S46</f>
        <v>42500.333333333336</v>
      </c>
      <c r="X46" s="67"/>
      <c r="Y46" s="66"/>
      <c r="Z46" s="70"/>
      <c r="AA46" s="70"/>
      <c r="AB46" s="73"/>
      <c r="AC46" s="67"/>
      <c r="AE46" s="101"/>
    </row>
    <row r="47" spans="2:35" hidden="1" x14ac:dyDescent="0.25">
      <c r="F47" s="12"/>
      <c r="H47"/>
      <c r="I47"/>
      <c r="J47"/>
      <c r="K47"/>
      <c r="L47"/>
      <c r="M47"/>
      <c r="N47"/>
      <c r="AE47" s="101"/>
    </row>
    <row r="48" spans="2:35" ht="21.75" hidden="1" thickBot="1" x14ac:dyDescent="0.3">
      <c r="F48" s="12"/>
      <c r="H48"/>
      <c r="I48"/>
      <c r="J48"/>
      <c r="K48"/>
      <c r="L48"/>
      <c r="M48"/>
      <c r="N48"/>
      <c r="AE48" s="101"/>
    </row>
    <row r="49" spans="2:31" ht="27.75" hidden="1" customHeight="1" x14ac:dyDescent="0.25">
      <c r="F49" s="12"/>
      <c r="H49" s="384" t="s">
        <v>139</v>
      </c>
      <c r="I49" s="385"/>
      <c r="J49" s="385"/>
      <c r="K49" s="386"/>
      <c r="L49"/>
      <c r="M49"/>
      <c r="N49"/>
      <c r="AE49" s="101"/>
    </row>
    <row r="50" spans="2:31" ht="23.25" hidden="1" thickBot="1" x14ac:dyDescent="0.3">
      <c r="F50" s="12"/>
      <c r="H50" s="50" t="s">
        <v>81</v>
      </c>
      <c r="I50" s="51" t="s">
        <v>82</v>
      </c>
      <c r="J50" s="51" t="s">
        <v>83</v>
      </c>
      <c r="K50" s="55" t="s">
        <v>84</v>
      </c>
      <c r="L50"/>
      <c r="M50"/>
      <c r="N50"/>
      <c r="AE50" s="101"/>
    </row>
    <row r="51" spans="2:31" ht="21.75" hidden="1" thickBot="1" x14ac:dyDescent="0.3">
      <c r="F51" s="12"/>
      <c r="H51"/>
      <c r="I51"/>
      <c r="J51"/>
      <c r="K51"/>
      <c r="L51"/>
      <c r="M51"/>
      <c r="N51"/>
      <c r="AE51" s="101"/>
    </row>
    <row r="52" spans="2:31" ht="22.5" hidden="1" thickTop="1" thickBot="1" x14ac:dyDescent="0.3">
      <c r="B52" s="41">
        <f>A31</f>
        <v>42736</v>
      </c>
      <c r="C52" s="58">
        <f>N1+(12*30.5)-1</f>
        <v>42394</v>
      </c>
      <c r="D52" s="59">
        <f>E52/30.5</f>
        <v>11.21311475409836</v>
      </c>
      <c r="E52" s="60">
        <f>B52-C52</f>
        <v>342</v>
      </c>
      <c r="F52" s="12"/>
      <c r="G52" s="68">
        <f>E52</f>
        <v>342</v>
      </c>
      <c r="H52" s="62">
        <f>INT(D52*2/3/12)</f>
        <v>0</v>
      </c>
      <c r="I52" s="63">
        <f>INT(D52*2/3-(H52*12))</f>
        <v>7</v>
      </c>
      <c r="J52" s="64">
        <f>ROUND((D52*2/3-(H52*12)-I52)*30,0)</f>
        <v>14</v>
      </c>
      <c r="K52" s="86">
        <f>B52-G52</f>
        <v>42394</v>
      </c>
      <c r="L52"/>
      <c r="M52"/>
      <c r="N52"/>
      <c r="AE52" s="101"/>
    </row>
    <row r="53" spans="2:31" hidden="1" x14ac:dyDescent="0.25">
      <c r="F53" s="12"/>
      <c r="H53"/>
      <c r="I53"/>
      <c r="J53"/>
      <c r="K53"/>
      <c r="L53"/>
      <c r="M53"/>
      <c r="N53"/>
      <c r="AE53" s="101"/>
    </row>
    <row r="54" spans="2:31" ht="21.75" hidden="1" thickBot="1" x14ac:dyDescent="0.3">
      <c r="F54" s="12"/>
      <c r="H54"/>
      <c r="I54"/>
      <c r="J54"/>
      <c r="K54"/>
      <c r="L54"/>
      <c r="M54"/>
      <c r="N54"/>
      <c r="AE54" s="101"/>
    </row>
    <row r="55" spans="2:31" ht="27.75" hidden="1" customHeight="1" x14ac:dyDescent="0.25">
      <c r="F55" s="12"/>
      <c r="H55" s="384" t="s">
        <v>94</v>
      </c>
      <c r="I55" s="385"/>
      <c r="J55" s="385"/>
      <c r="K55" s="386"/>
      <c r="L55"/>
      <c r="M55"/>
      <c r="N55" s="384" t="s">
        <v>95</v>
      </c>
      <c r="O55" s="385"/>
      <c r="P55" s="385"/>
      <c r="Q55" s="386"/>
      <c r="AE55" s="101"/>
    </row>
    <row r="56" spans="2:31" ht="23.25" hidden="1" thickBot="1" x14ac:dyDescent="0.3">
      <c r="F56" s="12"/>
      <c r="H56" s="50" t="s">
        <v>81</v>
      </c>
      <c r="I56" s="51" t="s">
        <v>82</v>
      </c>
      <c r="J56" s="51" t="s">
        <v>83</v>
      </c>
      <c r="K56" s="55" t="s">
        <v>84</v>
      </c>
      <c r="L56"/>
      <c r="M56"/>
      <c r="N56" s="50" t="s">
        <v>81</v>
      </c>
      <c r="O56" s="51" t="s">
        <v>82</v>
      </c>
      <c r="P56" s="51" t="s">
        <v>83</v>
      </c>
      <c r="Q56" s="55" t="s">
        <v>84</v>
      </c>
      <c r="AE56" s="101"/>
    </row>
    <row r="57" spans="2:31" ht="6" hidden="1" customHeight="1" thickBot="1" x14ac:dyDescent="0.3">
      <c r="F57" s="12"/>
      <c r="H57"/>
      <c r="I57"/>
      <c r="J57"/>
      <c r="K57"/>
      <c r="L57"/>
      <c r="M57"/>
      <c r="N57"/>
      <c r="AE57" s="101"/>
    </row>
    <row r="58" spans="2:31" ht="22.5" hidden="1" thickTop="1" thickBot="1" x14ac:dyDescent="0.3">
      <c r="B58" s="41">
        <f>A31</f>
        <v>42736</v>
      </c>
      <c r="C58" s="58">
        <f>N1+(18*30.5)-1</f>
        <v>42577</v>
      </c>
      <c r="D58" s="59">
        <f>E58/30.5</f>
        <v>5.2131147540983607</v>
      </c>
      <c r="E58" s="60">
        <f>B58-C58</f>
        <v>159</v>
      </c>
      <c r="F58" s="61"/>
      <c r="G58" s="61">
        <f>E58*5/3</f>
        <v>265</v>
      </c>
      <c r="H58" s="62">
        <f>INT(D58*5/3/12)</f>
        <v>0</v>
      </c>
      <c r="I58" s="63">
        <f>INT(D58*5/3-(H58*12))</f>
        <v>8</v>
      </c>
      <c r="J58" s="64">
        <f>ROUND((D58*5/3-(H58*12)-I58)*30,0)</f>
        <v>21</v>
      </c>
      <c r="K58" s="86">
        <f>B58-G58</f>
        <v>42471</v>
      </c>
      <c r="L58" s="65"/>
      <c r="M58" s="66">
        <f>E58*8/3</f>
        <v>424</v>
      </c>
      <c r="N58" s="62">
        <f>INT(D58*8/3/12)</f>
        <v>1</v>
      </c>
      <c r="O58" s="63">
        <f>INT(D58*8/3-(N58*12))</f>
        <v>1</v>
      </c>
      <c r="P58" s="64">
        <f>ROUND((D58*8/3-(N58*12)-O58)*30,0)</f>
        <v>27</v>
      </c>
      <c r="Q58" s="87">
        <f>B58-M58</f>
        <v>42312</v>
      </c>
      <c r="R58" s="61"/>
      <c r="S58" s="61"/>
      <c r="T58" s="70"/>
      <c r="U58" s="70"/>
      <c r="V58" s="73"/>
      <c r="W58" s="67"/>
      <c r="X58" s="67"/>
      <c r="Y58" s="66"/>
      <c r="Z58" s="70"/>
      <c r="AA58" s="70"/>
      <c r="AB58" s="73"/>
      <c r="AC58" s="67"/>
      <c r="AE58" s="101"/>
    </row>
    <row r="59" spans="2:31" hidden="1" x14ac:dyDescent="0.25">
      <c r="F59" s="12"/>
      <c r="H59"/>
      <c r="I59"/>
      <c r="J59"/>
      <c r="K59"/>
      <c r="L59"/>
      <c r="M59"/>
      <c r="N59"/>
      <c r="AE59" s="101"/>
    </row>
    <row r="60" spans="2:31" ht="21.75" hidden="1" thickBot="1" x14ac:dyDescent="0.3">
      <c r="F60" s="12"/>
      <c r="H60"/>
      <c r="I60"/>
      <c r="J60"/>
      <c r="K60"/>
      <c r="L60"/>
      <c r="M60"/>
      <c r="N60"/>
      <c r="AE60" s="101"/>
    </row>
    <row r="61" spans="2:31" ht="27.75" hidden="1" customHeight="1" x14ac:dyDescent="0.25">
      <c r="F61" s="12"/>
      <c r="H61" s="384" t="s">
        <v>96</v>
      </c>
      <c r="I61" s="385"/>
      <c r="J61" s="385"/>
      <c r="K61" s="386"/>
      <c r="L61"/>
      <c r="M61"/>
      <c r="N61" s="384" t="s">
        <v>140</v>
      </c>
      <c r="O61" s="385"/>
      <c r="P61" s="385"/>
      <c r="Q61" s="386"/>
      <c r="AE61" s="101"/>
    </row>
    <row r="62" spans="2:31" ht="23.25" hidden="1" thickBot="1" x14ac:dyDescent="0.3">
      <c r="F62" s="12"/>
      <c r="H62" s="50" t="s">
        <v>81</v>
      </c>
      <c r="I62" s="51" t="s">
        <v>82</v>
      </c>
      <c r="J62" s="51" t="s">
        <v>83</v>
      </c>
      <c r="K62" s="55" t="s">
        <v>84</v>
      </c>
      <c r="L62"/>
      <c r="M62"/>
      <c r="N62" s="50" t="s">
        <v>81</v>
      </c>
      <c r="O62" s="51" t="s">
        <v>82</v>
      </c>
      <c r="P62" s="51" t="s">
        <v>83</v>
      </c>
      <c r="Q62" s="55" t="s">
        <v>84</v>
      </c>
      <c r="AE62" s="101"/>
    </row>
    <row r="63" spans="2:31" ht="6" hidden="1" customHeight="1" thickBot="1" x14ac:dyDescent="0.3">
      <c r="F63" s="12"/>
      <c r="H63"/>
      <c r="I63"/>
      <c r="J63"/>
      <c r="K63"/>
      <c r="L63"/>
      <c r="M63"/>
      <c r="N63"/>
      <c r="AE63" s="101"/>
    </row>
    <row r="64" spans="2:31" ht="22.5" hidden="1" thickTop="1" thickBot="1" x14ac:dyDescent="0.3">
      <c r="B64" s="41">
        <f>A31</f>
        <v>42736</v>
      </c>
      <c r="C64" s="58">
        <f>N1+(24*30.5)-1</f>
        <v>42760</v>
      </c>
      <c r="D64" s="59">
        <f>E64/30.5</f>
        <v>-0.78688524590163933</v>
      </c>
      <c r="E64" s="60">
        <f>B64-C64</f>
        <v>-24</v>
      </c>
      <c r="F64" s="61"/>
      <c r="G64" s="61">
        <f>E64*5/4</f>
        <v>-30</v>
      </c>
      <c r="H64" s="62">
        <f>INT(D64*5/4/12)</f>
        <v>-1</v>
      </c>
      <c r="I64" s="63">
        <f>INT(D64*5/4-(H64*12))</f>
        <v>11</v>
      </c>
      <c r="J64" s="64">
        <f>ROUND((D64*5/4-(H64*12)-I64)*30,0)</f>
        <v>0</v>
      </c>
      <c r="K64" s="86">
        <f>B64-G64</f>
        <v>42766</v>
      </c>
      <c r="L64" s="61"/>
      <c r="M64" s="68">
        <f>E64</f>
        <v>-24</v>
      </c>
      <c r="N64" s="62">
        <f>INT(J64/12)</f>
        <v>0</v>
      </c>
      <c r="O64" s="63">
        <f>INT(J64-(N64*12))</f>
        <v>0</v>
      </c>
      <c r="P64" s="64">
        <f>ROUND((J64-(N64*12)-O64)*30,0)</f>
        <v>0</v>
      </c>
      <c r="Q64" s="86">
        <f>B64-M64</f>
        <v>42760</v>
      </c>
      <c r="R64" s="61"/>
      <c r="S64" s="61"/>
      <c r="T64" s="70"/>
      <c r="U64" s="70"/>
      <c r="V64" s="73"/>
      <c r="W64" s="67"/>
      <c r="X64" s="67"/>
      <c r="Y64" s="66"/>
      <c r="Z64" s="70"/>
      <c r="AA64" s="70"/>
      <c r="AB64" s="73"/>
      <c r="AC64" s="67"/>
      <c r="AE64" s="101"/>
    </row>
    <row r="65" spans="2:31" hidden="1" x14ac:dyDescent="0.25">
      <c r="F65" s="12"/>
      <c r="H65"/>
      <c r="I65"/>
      <c r="J65"/>
      <c r="K65"/>
      <c r="L65"/>
      <c r="M65"/>
      <c r="N65"/>
      <c r="AE65" s="101"/>
    </row>
    <row r="66" spans="2:31" ht="21.75" hidden="1" thickBot="1" x14ac:dyDescent="0.3">
      <c r="H66"/>
      <c r="I66"/>
      <c r="J66"/>
      <c r="K66"/>
      <c r="L66"/>
      <c r="M66"/>
      <c r="N66"/>
      <c r="AE66" s="101"/>
    </row>
    <row r="67" spans="2:31" ht="27.75" hidden="1" customHeight="1" x14ac:dyDescent="0.25">
      <c r="F67" s="12"/>
      <c r="H67" s="384" t="s">
        <v>164</v>
      </c>
      <c r="I67" s="385"/>
      <c r="J67" s="385"/>
      <c r="K67" s="386"/>
      <c r="L67"/>
      <c r="M67"/>
      <c r="N67"/>
      <c r="AE67" s="101"/>
    </row>
    <row r="68" spans="2:31" ht="23.25" hidden="1" thickBot="1" x14ac:dyDescent="0.3">
      <c r="F68" s="12"/>
      <c r="H68" s="50" t="s">
        <v>81</v>
      </c>
      <c r="I68" s="51" t="s">
        <v>82</v>
      </c>
      <c r="J68" s="51" t="s">
        <v>83</v>
      </c>
      <c r="K68" s="55" t="s">
        <v>84</v>
      </c>
      <c r="L68"/>
      <c r="M68"/>
      <c r="N68"/>
      <c r="AE68" s="101"/>
    </row>
    <row r="69" spans="2:31" ht="21.75" hidden="1" thickBot="1" x14ac:dyDescent="0.3">
      <c r="F69" s="12"/>
      <c r="H69"/>
      <c r="I69"/>
      <c r="J69"/>
      <c r="K69"/>
      <c r="L69"/>
      <c r="M69"/>
      <c r="N69"/>
      <c r="AE69" s="101"/>
    </row>
    <row r="70" spans="2:31" ht="22.5" hidden="1" thickTop="1" thickBot="1" x14ac:dyDescent="0.3">
      <c r="B70" s="41">
        <f>A31</f>
        <v>42736</v>
      </c>
      <c r="C70" s="58">
        <f>N1+(36*30.5)-1</f>
        <v>43126</v>
      </c>
      <c r="D70" s="59">
        <f>E70/30.5</f>
        <v>-12.78688524590164</v>
      </c>
      <c r="E70" s="60">
        <f>B70-C70</f>
        <v>-390</v>
      </c>
      <c r="F70" s="61"/>
      <c r="G70" s="61">
        <f>E70*3</f>
        <v>-1170</v>
      </c>
      <c r="H70" s="62">
        <f>INT(D70*5/4/12)</f>
        <v>-2</v>
      </c>
      <c r="I70" s="63">
        <f>INT(D70*5/4-(H70*12))</f>
        <v>8</v>
      </c>
      <c r="J70" s="64">
        <f>ROUND((D70*5/4-(H70*12)-I70)*30,0)</f>
        <v>0</v>
      </c>
      <c r="K70" s="86">
        <f>B70-G70</f>
        <v>43906</v>
      </c>
      <c r="L70"/>
      <c r="M70"/>
      <c r="N70"/>
      <c r="AE70" s="101"/>
    </row>
    <row r="71" spans="2:31" hidden="1" x14ac:dyDescent="0.25">
      <c r="H71"/>
      <c r="I71"/>
      <c r="J71"/>
      <c r="K71"/>
      <c r="L71"/>
      <c r="M71"/>
      <c r="N71"/>
      <c r="AE71" s="101"/>
    </row>
    <row r="72" spans="2:31" hidden="1" x14ac:dyDescent="0.25"/>
    <row r="73" spans="2:31" hidden="1" x14ac:dyDescent="0.25"/>
  </sheetData>
  <sheetProtection password="EB30" sheet="1" objects="1" scenarios="1" selectLockedCells="1"/>
  <mergeCells count="37">
    <mergeCell ref="H61:K61"/>
    <mergeCell ref="N61:Q61"/>
    <mergeCell ref="H67:K67"/>
    <mergeCell ref="J1:M1"/>
    <mergeCell ref="H43:K43"/>
    <mergeCell ref="N43:Q43"/>
    <mergeCell ref="J21:J22"/>
    <mergeCell ref="P7:P11"/>
    <mergeCell ref="N1:P1"/>
    <mergeCell ref="I9:K9"/>
    <mergeCell ref="T43:W43"/>
    <mergeCell ref="H49:K49"/>
    <mergeCell ref="H55:K55"/>
    <mergeCell ref="N55:Q55"/>
    <mergeCell ref="Z31:AC31"/>
    <mergeCell ref="AF31:AI31"/>
    <mergeCell ref="H37:K37"/>
    <mergeCell ref="N37:Q37"/>
    <mergeCell ref="T37:W37"/>
    <mergeCell ref="Z37:AC37"/>
    <mergeCell ref="AF37:AI37"/>
    <mergeCell ref="A31:B31"/>
    <mergeCell ref="C31:D31"/>
    <mergeCell ref="H31:K31"/>
    <mergeCell ref="N31:Q31"/>
    <mergeCell ref="T31:W31"/>
    <mergeCell ref="C7:E7"/>
    <mergeCell ref="H3:M3"/>
    <mergeCell ref="J12:J13"/>
    <mergeCell ref="J14:J15"/>
    <mergeCell ref="B3:F3"/>
    <mergeCell ref="L7:N7"/>
    <mergeCell ref="I4:K4"/>
    <mergeCell ref="I7:K7"/>
    <mergeCell ref="I8:K8"/>
    <mergeCell ref="I5:K5"/>
    <mergeCell ref="I6:K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78"/>
  <sheetViews>
    <sheetView showGridLines="0" topLeftCell="D1" zoomScale="90" zoomScaleNormal="90" workbookViewId="0">
      <selection activeCell="L6" sqref="L6"/>
    </sheetView>
  </sheetViews>
  <sheetFormatPr baseColWidth="10" defaultRowHeight="21" x14ac:dyDescent="0.25"/>
  <cols>
    <col min="1" max="1" width="24.85546875" style="265" customWidth="1"/>
    <col min="7" max="7" width="3.140625" customWidth="1"/>
    <col min="8" max="8" width="15.42578125" style="72" customWidth="1"/>
    <col min="9" max="9" width="4.5703125" customWidth="1"/>
    <col min="10" max="11" width="14.140625" customWidth="1"/>
    <col min="12" max="12" width="14.140625" style="121" customWidth="1"/>
    <col min="13" max="14" width="14.140625" customWidth="1"/>
    <col min="15" max="15" width="3" customWidth="1"/>
    <col min="16" max="16" width="19.140625" customWidth="1"/>
    <col min="18" max="18" width="4.28515625" customWidth="1"/>
    <col min="19" max="22" width="5.140625" customWidth="1"/>
    <col min="24" max="24" width="4.140625" customWidth="1"/>
    <col min="25" max="28" width="5.7109375" customWidth="1"/>
    <col min="30" max="30" width="5.140625" customWidth="1"/>
    <col min="31" max="34" width="5.42578125" customWidth="1"/>
  </cols>
  <sheetData>
    <row r="1" spans="1:24" ht="27" thickBot="1" x14ac:dyDescent="0.3">
      <c r="H1" s="121"/>
      <c r="J1" s="348" t="s">
        <v>165</v>
      </c>
      <c r="K1" s="349"/>
      <c r="L1" s="349"/>
      <c r="M1" s="349"/>
      <c r="N1" s="362">
        <v>42045</v>
      </c>
      <c r="O1" s="363"/>
      <c r="P1" s="363"/>
      <c r="Q1" s="363"/>
      <c r="R1" s="363"/>
    </row>
    <row r="2" spans="1:24" ht="21.75" thickBot="1" x14ac:dyDescent="0.3">
      <c r="H2" s="121"/>
    </row>
    <row r="3" spans="1:24" ht="29.25" thickBot="1" x14ac:dyDescent="0.3">
      <c r="B3" s="352" t="s">
        <v>203</v>
      </c>
      <c r="C3" s="353"/>
      <c r="D3" s="353"/>
      <c r="E3" s="353"/>
      <c r="F3" s="354"/>
      <c r="G3" s="250"/>
      <c r="H3" s="357" t="s">
        <v>173</v>
      </c>
      <c r="I3" s="357"/>
      <c r="J3" s="357"/>
      <c r="K3" s="357"/>
      <c r="L3" s="357"/>
      <c r="M3" s="357"/>
    </row>
    <row r="4" spans="1:24" ht="21" customHeight="1" x14ac:dyDescent="0.25">
      <c r="A4" s="291" t="s">
        <v>215</v>
      </c>
      <c r="H4" s="262"/>
      <c r="I4" s="365" t="s">
        <v>264</v>
      </c>
      <c r="J4" s="366"/>
      <c r="K4" s="367"/>
      <c r="L4" s="120"/>
      <c r="M4" s="12"/>
    </row>
    <row r="5" spans="1:24" ht="21" customHeight="1" x14ac:dyDescent="0.25">
      <c r="A5" s="292" t="s">
        <v>259</v>
      </c>
      <c r="H5" s="262"/>
      <c r="I5" s="368" t="s">
        <v>259</v>
      </c>
      <c r="J5" s="369"/>
      <c r="K5" s="370"/>
      <c r="L5" s="322"/>
      <c r="M5" s="12"/>
    </row>
    <row r="6" spans="1:24" ht="21" customHeight="1" x14ac:dyDescent="0.25">
      <c r="A6" s="292" t="s">
        <v>245</v>
      </c>
      <c r="H6" s="262"/>
      <c r="I6" s="376" t="s">
        <v>247</v>
      </c>
      <c r="J6" s="391"/>
      <c r="K6" s="392"/>
      <c r="L6" s="318"/>
      <c r="M6" s="12"/>
    </row>
    <row r="7" spans="1:24" ht="21" customHeight="1" thickBot="1" x14ac:dyDescent="0.3">
      <c r="A7" s="292" t="s">
        <v>246</v>
      </c>
      <c r="H7" s="262"/>
      <c r="I7" s="368" t="s">
        <v>242</v>
      </c>
      <c r="J7" s="369"/>
      <c r="K7" s="370"/>
      <c r="L7" s="318"/>
      <c r="M7" s="12"/>
    </row>
    <row r="8" spans="1:24" ht="21" customHeight="1" x14ac:dyDescent="0.35">
      <c r="A8" s="292" t="s">
        <v>216</v>
      </c>
      <c r="C8" s="374" t="s">
        <v>54</v>
      </c>
      <c r="D8" s="374"/>
      <c r="E8" s="374"/>
      <c r="H8" s="262"/>
      <c r="I8" s="368" t="s">
        <v>244</v>
      </c>
      <c r="J8" s="369"/>
      <c r="K8" s="370"/>
      <c r="L8" s="390" t="s">
        <v>87</v>
      </c>
      <c r="M8" s="390"/>
      <c r="N8" s="390"/>
      <c r="P8" s="358" t="s">
        <v>166</v>
      </c>
    </row>
    <row r="9" spans="1:24" ht="21" customHeight="1" x14ac:dyDescent="0.25">
      <c r="A9" s="293" t="s">
        <v>217</v>
      </c>
      <c r="H9" s="262"/>
      <c r="I9" s="371" t="s">
        <v>248</v>
      </c>
      <c r="J9" s="372"/>
      <c r="K9" s="373"/>
      <c r="L9" s="120"/>
      <c r="M9" s="12"/>
      <c r="P9" s="359"/>
    </row>
    <row r="10" spans="1:24" ht="21" customHeight="1" x14ac:dyDescent="0.25">
      <c r="B10" s="137" t="s">
        <v>37</v>
      </c>
      <c r="C10" s="137" t="s">
        <v>38</v>
      </c>
      <c r="D10" s="175" t="s">
        <v>39</v>
      </c>
      <c r="E10" s="175" t="s">
        <v>40</v>
      </c>
      <c r="F10" s="175" t="s">
        <v>39</v>
      </c>
      <c r="G10" s="122"/>
      <c r="H10" s="158" t="s">
        <v>99</v>
      </c>
      <c r="I10" s="182" t="s">
        <v>97</v>
      </c>
      <c r="J10" s="131" t="s">
        <v>37</v>
      </c>
      <c r="K10" s="131" t="s">
        <v>38</v>
      </c>
      <c r="L10" s="183" t="s">
        <v>39</v>
      </c>
      <c r="M10" s="182" t="s">
        <v>40</v>
      </c>
      <c r="N10" s="184" t="s">
        <v>39</v>
      </c>
      <c r="O10" s="122"/>
      <c r="P10" s="359"/>
      <c r="Q10" s="122"/>
      <c r="R10" s="122"/>
      <c r="S10" s="122"/>
      <c r="T10" s="122"/>
      <c r="U10" s="122"/>
      <c r="V10" s="122"/>
      <c r="W10" s="122"/>
      <c r="X10" s="122"/>
    </row>
    <row r="11" spans="1:24" ht="21.75" thickBot="1" x14ac:dyDescent="0.3">
      <c r="B11" s="138"/>
      <c r="C11" s="138"/>
      <c r="D11" s="175" t="s">
        <v>41</v>
      </c>
      <c r="E11" s="175" t="s">
        <v>42</v>
      </c>
      <c r="F11" s="175" t="s">
        <v>43</v>
      </c>
      <c r="G11" s="122"/>
      <c r="H11" s="158"/>
      <c r="I11" s="182" t="s">
        <v>98</v>
      </c>
      <c r="J11" s="185"/>
      <c r="K11" s="132"/>
      <c r="L11" s="183" t="s">
        <v>41</v>
      </c>
      <c r="M11" s="182" t="s">
        <v>42</v>
      </c>
      <c r="N11" s="184" t="s">
        <v>43</v>
      </c>
      <c r="O11" s="122"/>
      <c r="P11" s="360"/>
      <c r="Q11" s="122"/>
      <c r="R11" s="122"/>
      <c r="S11" s="122"/>
      <c r="T11" s="122"/>
      <c r="U11" s="122"/>
      <c r="V11" s="122"/>
      <c r="W11" s="122"/>
      <c r="X11" s="122"/>
    </row>
    <row r="12" spans="1:24" ht="15" customHeight="1" x14ac:dyDescent="0.25">
      <c r="B12" s="165"/>
      <c r="C12" s="165"/>
      <c r="D12" s="165"/>
      <c r="E12" s="165"/>
      <c r="F12" s="165"/>
      <c r="G12" s="122"/>
      <c r="H12" s="158"/>
      <c r="I12" s="123"/>
      <c r="J12" s="197">
        <v>1</v>
      </c>
      <c r="K12" s="135">
        <v>1</v>
      </c>
      <c r="L12" s="168">
        <f>LOOKUP(N12,'IB-IM et VP'!A:A,'IB-IM et VP'!C:C)</f>
        <v>328</v>
      </c>
      <c r="M12" s="186">
        <f>L12*'IB-IM et VP'!P3</f>
        <v>1527.8485999999998</v>
      </c>
      <c r="N12" s="164">
        <v>351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</row>
    <row r="13" spans="1:24" x14ac:dyDescent="0.25">
      <c r="B13" s="197">
        <v>1</v>
      </c>
      <c r="C13" s="135">
        <v>1</v>
      </c>
      <c r="D13" s="135">
        <f>LOOKUP(F13,'IB-IM et VP'!A:A,'IB-IM et VP'!C:C)</f>
        <v>326</v>
      </c>
      <c r="E13" s="176">
        <f>D13*'IB-IM et VP'!P3</f>
        <v>1518.5324499999997</v>
      </c>
      <c r="F13" s="135">
        <v>348</v>
      </c>
      <c r="G13" s="122"/>
      <c r="H13" s="263" t="s">
        <v>60</v>
      </c>
      <c r="I13" s="181">
        <f>L13-D13</f>
        <v>4</v>
      </c>
      <c r="J13" s="197">
        <v>2</v>
      </c>
      <c r="K13" s="135">
        <v>2</v>
      </c>
      <c r="L13" s="168">
        <f>LOOKUP(N13,'IB-IM et VP'!A:A,'IB-IM et VP'!C:C)</f>
        <v>330</v>
      </c>
      <c r="M13" s="186">
        <f>L13*'IB-IM et VP'!P3</f>
        <v>1537.1647499999997</v>
      </c>
      <c r="N13" s="164">
        <v>354</v>
      </c>
      <c r="O13" s="122"/>
      <c r="P13" s="198">
        <f>AI34</f>
        <v>40663</v>
      </c>
      <c r="Q13" s="122"/>
      <c r="R13" s="122"/>
      <c r="S13" s="122"/>
      <c r="T13" s="122"/>
      <c r="U13" s="122"/>
      <c r="V13" s="122"/>
      <c r="W13" s="122"/>
      <c r="X13" s="122"/>
    </row>
    <row r="14" spans="1:24" x14ac:dyDescent="0.25">
      <c r="B14" s="197">
        <v>2</v>
      </c>
      <c r="C14" s="135">
        <v>1</v>
      </c>
      <c r="D14" s="135">
        <f>LOOKUP(F14,'IB-IM et VP'!A:A,'IB-IM et VP'!C:C)</f>
        <v>327</v>
      </c>
      <c r="E14" s="176">
        <f>D14*'IB-IM et VP'!P3</f>
        <v>1523.1905249999998</v>
      </c>
      <c r="F14" s="135">
        <v>349</v>
      </c>
      <c r="G14" s="122"/>
      <c r="H14" s="263" t="s">
        <v>56</v>
      </c>
      <c r="I14" s="181">
        <f t="shared" ref="I14:I24" si="0">L14-D14</f>
        <v>5</v>
      </c>
      <c r="J14" s="375">
        <v>3</v>
      </c>
      <c r="K14" s="135">
        <v>2</v>
      </c>
      <c r="L14" s="168">
        <f>LOOKUP(N14,'IB-IM et VP'!A:A,'IB-IM et VP'!C:C)</f>
        <v>332</v>
      </c>
      <c r="M14" s="186">
        <f>L14*'IB-IM et VP'!P3</f>
        <v>1546.4808999999998</v>
      </c>
      <c r="N14" s="164">
        <v>357</v>
      </c>
      <c r="O14" s="199"/>
      <c r="P14" s="195">
        <f>N1</f>
        <v>42045</v>
      </c>
      <c r="Q14" s="122"/>
      <c r="R14" s="122"/>
      <c r="S14" s="122"/>
      <c r="T14" s="122"/>
      <c r="U14" s="122"/>
      <c r="V14" s="122"/>
      <c r="W14" s="122"/>
      <c r="X14" s="122"/>
    </row>
    <row r="15" spans="1:24" x14ac:dyDescent="0.25">
      <c r="B15" s="197">
        <v>3</v>
      </c>
      <c r="C15" s="135">
        <v>2</v>
      </c>
      <c r="D15" s="135">
        <f>LOOKUP(F15,'IB-IM et VP'!A:A,'IB-IM et VP'!C:C)</f>
        <v>328</v>
      </c>
      <c r="E15" s="176">
        <f>D15*'IB-IM et VP'!P3</f>
        <v>1527.8485999999998</v>
      </c>
      <c r="F15" s="135">
        <v>351</v>
      </c>
      <c r="G15" s="122"/>
      <c r="H15" s="263" t="s">
        <v>61</v>
      </c>
      <c r="I15" s="181">
        <f t="shared" si="0"/>
        <v>4</v>
      </c>
      <c r="J15" s="375"/>
      <c r="K15" s="135">
        <v>2</v>
      </c>
      <c r="L15" s="168">
        <f>LOOKUP(N15,'IB-IM et VP'!A:A,'IB-IM et VP'!C:C)</f>
        <v>332</v>
      </c>
      <c r="M15" s="186">
        <f>L15*'IB-IM et VP'!P3</f>
        <v>1546.4808999999998</v>
      </c>
      <c r="N15" s="164">
        <v>357</v>
      </c>
      <c r="O15" s="122"/>
      <c r="P15" s="198">
        <f>K34-365</f>
        <v>42025.5</v>
      </c>
      <c r="Q15" s="122"/>
      <c r="R15" s="122"/>
      <c r="S15" s="122"/>
      <c r="T15" s="122"/>
      <c r="U15" s="122"/>
      <c r="V15" s="122"/>
      <c r="W15" s="122"/>
      <c r="X15" s="122"/>
    </row>
    <row r="16" spans="1:24" x14ac:dyDescent="0.25">
      <c r="B16" s="197">
        <v>4</v>
      </c>
      <c r="C16" s="135">
        <v>2</v>
      </c>
      <c r="D16" s="135">
        <f>LOOKUP(F16,'IB-IM et VP'!A:A,'IB-IM et VP'!C:C)</f>
        <v>330</v>
      </c>
      <c r="E16" s="176">
        <f>D16*'IB-IM et VP'!P3</f>
        <v>1537.1647499999997</v>
      </c>
      <c r="F16" s="135">
        <v>354</v>
      </c>
      <c r="G16" s="122"/>
      <c r="H16" s="263" t="s">
        <v>57</v>
      </c>
      <c r="I16" s="181">
        <f t="shared" si="0"/>
        <v>6</v>
      </c>
      <c r="J16" s="375">
        <v>4</v>
      </c>
      <c r="K16" s="135">
        <v>2</v>
      </c>
      <c r="L16" s="168">
        <f>LOOKUP(N16,'IB-IM et VP'!A:A,'IB-IM et VP'!C:C)</f>
        <v>336</v>
      </c>
      <c r="M16" s="186">
        <f>L16*'IB-IM et VP'!P3</f>
        <v>1565.1131999999998</v>
      </c>
      <c r="N16" s="164">
        <v>362</v>
      </c>
      <c r="O16" s="199"/>
      <c r="P16" s="195">
        <f>A31</f>
        <v>42736</v>
      </c>
      <c r="Q16" s="122"/>
      <c r="R16" s="122"/>
      <c r="S16" s="122"/>
      <c r="T16" s="122"/>
      <c r="U16" s="122"/>
      <c r="V16" s="122"/>
      <c r="W16" s="122"/>
      <c r="X16" s="122"/>
    </row>
    <row r="17" spans="1:35" x14ac:dyDescent="0.25">
      <c r="B17" s="197">
        <v>5</v>
      </c>
      <c r="C17" s="135">
        <v>2</v>
      </c>
      <c r="D17" s="135">
        <f>LOOKUP(F17,'IB-IM et VP'!A:A,'IB-IM et VP'!C:C)</f>
        <v>332</v>
      </c>
      <c r="E17" s="176">
        <f>D17*'IB-IM et VP'!P3</f>
        <v>1546.4808999999998</v>
      </c>
      <c r="F17" s="135">
        <v>356</v>
      </c>
      <c r="G17" s="122"/>
      <c r="H17" s="263" t="s">
        <v>56</v>
      </c>
      <c r="I17" s="181">
        <f t="shared" si="0"/>
        <v>4</v>
      </c>
      <c r="J17" s="375"/>
      <c r="K17" s="135">
        <v>2</v>
      </c>
      <c r="L17" s="168">
        <f>LOOKUP(N17,'IB-IM et VP'!A:A,'IB-IM et VP'!C:C)</f>
        <v>336</v>
      </c>
      <c r="M17" s="186">
        <f>L17*'IB-IM et VP'!P3</f>
        <v>1565.1131999999998</v>
      </c>
      <c r="N17" s="164">
        <v>362</v>
      </c>
      <c r="O17" s="122"/>
      <c r="P17" s="198">
        <f>N1</f>
        <v>42045</v>
      </c>
      <c r="Q17" s="122"/>
      <c r="R17" s="122"/>
      <c r="S17" s="122"/>
      <c r="T17" s="122"/>
      <c r="U17" s="122"/>
      <c r="V17" s="122"/>
      <c r="W17" s="122"/>
      <c r="X17" s="122"/>
    </row>
    <row r="18" spans="1:35" x14ac:dyDescent="0.25">
      <c r="B18" s="197">
        <v>6</v>
      </c>
      <c r="C18" s="135">
        <v>2</v>
      </c>
      <c r="D18" s="135">
        <f>LOOKUP(F18,'IB-IM et VP'!A:A,'IB-IM et VP'!C:C)</f>
        <v>339</v>
      </c>
      <c r="E18" s="176">
        <f>D18*'IB-IM et VP'!P3</f>
        <v>1579.0874249999997</v>
      </c>
      <c r="F18" s="135">
        <v>366</v>
      </c>
      <c r="G18" s="122"/>
      <c r="H18" s="263" t="s">
        <v>56</v>
      </c>
      <c r="I18" s="181">
        <f t="shared" si="0"/>
        <v>4</v>
      </c>
      <c r="J18" s="197">
        <v>5</v>
      </c>
      <c r="K18" s="135">
        <v>2</v>
      </c>
      <c r="L18" s="168">
        <f>LOOKUP(N18,'IB-IM et VP'!A:A,'IB-IM et VP'!C:C)</f>
        <v>343</v>
      </c>
      <c r="M18" s="186">
        <f>L18*'IB-IM et VP'!P3</f>
        <v>1597.7197249999997</v>
      </c>
      <c r="N18" s="164">
        <v>372</v>
      </c>
      <c r="O18" s="199"/>
      <c r="P18" s="195">
        <f>N1</f>
        <v>42045</v>
      </c>
      <c r="Q18" s="122"/>
      <c r="R18" s="122"/>
      <c r="S18" s="122"/>
      <c r="T18" s="122"/>
      <c r="U18" s="122"/>
      <c r="V18" s="122"/>
      <c r="W18" s="122"/>
      <c r="X18" s="122"/>
    </row>
    <row r="19" spans="1:35" x14ac:dyDescent="0.25">
      <c r="B19" s="197">
        <v>7</v>
      </c>
      <c r="C19" s="135">
        <v>2</v>
      </c>
      <c r="D19" s="135">
        <f>LOOKUP(F19,'IB-IM et VP'!A:A,'IB-IM et VP'!C:C)</f>
        <v>346</v>
      </c>
      <c r="E19" s="176">
        <f>D19*'IB-IM et VP'!P3</f>
        <v>1611.6939499999999</v>
      </c>
      <c r="F19" s="135">
        <v>375</v>
      </c>
      <c r="G19" s="122"/>
      <c r="H19" s="263" t="s">
        <v>56</v>
      </c>
      <c r="I19" s="181">
        <f t="shared" si="0"/>
        <v>4</v>
      </c>
      <c r="J19" s="197">
        <v>6</v>
      </c>
      <c r="K19" s="135">
        <v>2</v>
      </c>
      <c r="L19" s="168">
        <f>LOOKUP(N19,'IB-IM et VP'!A:A,'IB-IM et VP'!C:C)</f>
        <v>350</v>
      </c>
      <c r="M19" s="186">
        <f>L19*'IB-IM et VP'!P3</f>
        <v>1630.3262499999998</v>
      </c>
      <c r="N19" s="164">
        <v>380</v>
      </c>
      <c r="O19" s="122"/>
      <c r="P19" s="198">
        <f>N1</f>
        <v>42045</v>
      </c>
      <c r="Q19" s="122"/>
      <c r="R19" s="122"/>
      <c r="S19" s="122"/>
      <c r="T19" s="122"/>
      <c r="U19" s="122"/>
      <c r="V19" s="122"/>
      <c r="W19" s="122"/>
      <c r="X19" s="122"/>
    </row>
    <row r="20" spans="1:35" x14ac:dyDescent="0.25">
      <c r="B20" s="197">
        <v>8</v>
      </c>
      <c r="C20" s="135">
        <v>3</v>
      </c>
      <c r="D20" s="135">
        <f>LOOKUP(F20,'IB-IM et VP'!A:A,'IB-IM et VP'!C:C)</f>
        <v>360</v>
      </c>
      <c r="E20" s="176">
        <f>D20*'IB-IM et VP'!P3</f>
        <v>1676.9069999999997</v>
      </c>
      <c r="F20" s="135">
        <v>396</v>
      </c>
      <c r="G20" s="122"/>
      <c r="H20" s="263" t="s">
        <v>58</v>
      </c>
      <c r="I20" s="181">
        <f t="shared" si="0"/>
        <v>4</v>
      </c>
      <c r="J20" s="197">
        <v>7</v>
      </c>
      <c r="K20" s="135">
        <v>2</v>
      </c>
      <c r="L20" s="168">
        <f>LOOKUP(N20,'IB-IM et VP'!A:A,'IB-IM et VP'!C:C)</f>
        <v>364</v>
      </c>
      <c r="M20" s="186">
        <f>L20*'IB-IM et VP'!P3</f>
        <v>1695.5392999999997</v>
      </c>
      <c r="N20" s="164">
        <v>403</v>
      </c>
      <c r="O20" s="199"/>
      <c r="P20" s="195">
        <f>W34</f>
        <v>42275.333333333336</v>
      </c>
      <c r="Q20" s="122"/>
      <c r="R20" s="122"/>
      <c r="S20" s="122"/>
      <c r="T20" s="122"/>
      <c r="U20" s="122"/>
      <c r="V20" s="122"/>
      <c r="W20" s="122"/>
      <c r="X20" s="122"/>
    </row>
    <row r="21" spans="1:35" x14ac:dyDescent="0.25">
      <c r="B21" s="197">
        <v>9</v>
      </c>
      <c r="C21" s="135">
        <v>3</v>
      </c>
      <c r="D21" s="135">
        <f>LOOKUP(F21,'IB-IM et VP'!A:A,'IB-IM et VP'!C:C)</f>
        <v>376</v>
      </c>
      <c r="E21" s="176">
        <f>D21*'IB-IM et VP'!P3</f>
        <v>1751.4361999999996</v>
      </c>
      <c r="F21" s="135">
        <v>423</v>
      </c>
      <c r="G21" s="122"/>
      <c r="H21" s="263" t="s">
        <v>58</v>
      </c>
      <c r="I21" s="181">
        <f t="shared" si="0"/>
        <v>4</v>
      </c>
      <c r="J21" s="197">
        <v>8</v>
      </c>
      <c r="K21" s="135">
        <v>2</v>
      </c>
      <c r="L21" s="168">
        <f>LOOKUP(N21,'IB-IM et VP'!A:A,'IB-IM et VP'!C:C)</f>
        <v>380</v>
      </c>
      <c r="M21" s="186">
        <f>L21*'IB-IM et VP'!P3</f>
        <v>1770.0684999999996</v>
      </c>
      <c r="N21" s="164">
        <v>430</v>
      </c>
      <c r="O21" s="122"/>
      <c r="P21" s="198">
        <f>W34</f>
        <v>42275.333333333336</v>
      </c>
      <c r="Q21" s="122"/>
      <c r="R21" s="122"/>
      <c r="S21" s="122"/>
      <c r="T21" s="122"/>
      <c r="U21" s="122"/>
      <c r="V21" s="122"/>
      <c r="W21" s="122"/>
      <c r="X21" s="122"/>
    </row>
    <row r="22" spans="1:35" x14ac:dyDescent="0.25">
      <c r="B22" s="197">
        <v>10</v>
      </c>
      <c r="C22" s="135">
        <v>4</v>
      </c>
      <c r="D22" s="135">
        <f>LOOKUP(F22,'IB-IM et VP'!A:A,'IB-IM et VP'!C:C)</f>
        <v>385</v>
      </c>
      <c r="E22" s="176">
        <f>D22*'IB-IM et VP'!P3</f>
        <v>1793.3588749999997</v>
      </c>
      <c r="F22" s="135">
        <v>437</v>
      </c>
      <c r="G22" s="122"/>
      <c r="H22" s="263" t="s">
        <v>59</v>
      </c>
      <c r="I22" s="181">
        <f t="shared" si="0"/>
        <v>5</v>
      </c>
      <c r="J22" s="197">
        <v>9</v>
      </c>
      <c r="K22" s="135">
        <v>3</v>
      </c>
      <c r="L22" s="168">
        <f>LOOKUP(N22,'IB-IM et VP'!A:A,'IB-IM et VP'!C:C)</f>
        <v>390</v>
      </c>
      <c r="M22" s="186">
        <f>L22*'IB-IM et VP'!P3</f>
        <v>1816.6492499999997</v>
      </c>
      <c r="N22" s="164">
        <v>444</v>
      </c>
      <c r="O22" s="199"/>
      <c r="P22" s="195">
        <f>Q34</f>
        <v>42217.75</v>
      </c>
      <c r="Q22" s="122"/>
      <c r="R22" s="122"/>
      <c r="S22" s="122"/>
      <c r="T22" s="122"/>
      <c r="U22" s="122"/>
      <c r="V22" s="122"/>
      <c r="W22" s="122"/>
      <c r="X22" s="122"/>
    </row>
    <row r="23" spans="1:35" x14ac:dyDescent="0.25">
      <c r="B23" s="197">
        <v>11</v>
      </c>
      <c r="C23" s="135">
        <v>4</v>
      </c>
      <c r="D23" s="135">
        <f>LOOKUP(F23,'IB-IM et VP'!A:A,'IB-IM et VP'!C:C)</f>
        <v>398</v>
      </c>
      <c r="E23" s="176">
        <f>D23*'IB-IM et VP'!P3</f>
        <v>1853.9138499999997</v>
      </c>
      <c r="F23" s="135">
        <v>454</v>
      </c>
      <c r="G23" s="122"/>
      <c r="H23" s="263" t="s">
        <v>59</v>
      </c>
      <c r="I23" s="181">
        <f t="shared" si="0"/>
        <v>4</v>
      </c>
      <c r="J23" s="197">
        <v>10</v>
      </c>
      <c r="K23" s="135">
        <v>3</v>
      </c>
      <c r="L23" s="168">
        <f>LOOKUP(N23,'IB-IM et VP'!A:A,'IB-IM et VP'!C:C)</f>
        <v>402</v>
      </c>
      <c r="M23" s="186">
        <f>L23*'IB-IM et VP'!P3</f>
        <v>1872.5461499999997</v>
      </c>
      <c r="N23" s="164">
        <v>459</v>
      </c>
      <c r="O23" s="122"/>
      <c r="P23" s="198">
        <f>Q34</f>
        <v>42217.75</v>
      </c>
      <c r="Q23" s="122"/>
      <c r="R23" s="122"/>
      <c r="S23" s="122"/>
      <c r="T23" s="122"/>
      <c r="U23" s="122"/>
      <c r="V23" s="122"/>
      <c r="W23" s="122"/>
      <c r="X23" s="122"/>
    </row>
    <row r="24" spans="1:35" x14ac:dyDescent="0.25">
      <c r="B24" s="197">
        <v>12</v>
      </c>
      <c r="C24" s="135"/>
      <c r="D24" s="135">
        <f>LOOKUP(F24,'IB-IM et VP'!A:A,'IB-IM et VP'!C:C)</f>
        <v>407</v>
      </c>
      <c r="E24" s="176">
        <f>D24*'IB-IM et VP'!P3</f>
        <v>1895.8365249999997</v>
      </c>
      <c r="F24" s="135">
        <v>465</v>
      </c>
      <c r="G24" s="122"/>
      <c r="H24" s="263" t="s">
        <v>56</v>
      </c>
      <c r="I24" s="181">
        <f t="shared" si="0"/>
        <v>4</v>
      </c>
      <c r="J24" s="197">
        <v>11</v>
      </c>
      <c r="K24" s="135">
        <v>4</v>
      </c>
      <c r="L24" s="168">
        <f>LOOKUP(N24,'IB-IM et VP'!A:A,'IB-IM et VP'!C:C)</f>
        <v>411</v>
      </c>
      <c r="M24" s="186">
        <f>L24*'IB-IM et VP'!P3</f>
        <v>1914.4688249999997</v>
      </c>
      <c r="N24" s="164">
        <v>471</v>
      </c>
      <c r="O24" s="199"/>
      <c r="P24" s="195">
        <f>N1</f>
        <v>42045</v>
      </c>
      <c r="Q24" s="122"/>
      <c r="R24" s="122"/>
      <c r="S24" s="122"/>
      <c r="T24" s="122"/>
      <c r="U24" s="122"/>
      <c r="V24" s="122"/>
      <c r="W24" s="122"/>
      <c r="X24" s="122"/>
    </row>
    <row r="25" spans="1:35" x14ac:dyDescent="0.25">
      <c r="B25" s="122"/>
      <c r="C25" s="122"/>
      <c r="D25" s="122"/>
      <c r="E25" s="122"/>
      <c r="F25" s="122"/>
      <c r="G25" s="122"/>
      <c r="H25" s="181"/>
      <c r="I25" s="123"/>
      <c r="J25" s="197">
        <v>12</v>
      </c>
      <c r="K25" s="135"/>
      <c r="L25" s="168">
        <f>LOOKUP(N25,'IB-IM et VP'!A:A,'IB-IM et VP'!C:C)</f>
        <v>416</v>
      </c>
      <c r="M25" s="186">
        <f>L25*'IB-IM et VP'!P3</f>
        <v>1937.7591999999997</v>
      </c>
      <c r="N25" s="164">
        <v>479</v>
      </c>
      <c r="O25" s="122"/>
      <c r="P25" s="122"/>
      <c r="Q25" s="122"/>
      <c r="R25" s="122"/>
      <c r="S25" s="122"/>
      <c r="T25" s="122"/>
      <c r="U25" s="122"/>
      <c r="V25" s="122"/>
      <c r="W25" s="122"/>
      <c r="X25" s="122"/>
    </row>
    <row r="26" spans="1:35" x14ac:dyDescent="0.25">
      <c r="B26" s="122"/>
      <c r="C26" s="122"/>
      <c r="D26" s="122"/>
      <c r="E26" s="122"/>
      <c r="F26" s="122"/>
      <c r="G26" s="122"/>
      <c r="H26" s="181"/>
      <c r="I26" s="122"/>
      <c r="J26" s="122"/>
      <c r="K26" s="122"/>
      <c r="L26" s="165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</row>
    <row r="27" spans="1:35" x14ac:dyDescent="0.25">
      <c r="B27" s="122"/>
      <c r="C27" s="122"/>
      <c r="D27" s="122"/>
      <c r="E27" s="122"/>
      <c r="F27" s="122"/>
      <c r="G27" s="122"/>
      <c r="H27" s="165"/>
      <c r="I27" s="122"/>
      <c r="J27" s="122"/>
      <c r="K27" s="122"/>
      <c r="L27" s="165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</row>
    <row r="30" spans="1:35" ht="21.75" hidden="1" thickBot="1" x14ac:dyDescent="0.3">
      <c r="H30"/>
      <c r="L30"/>
      <c r="AE30" s="101"/>
    </row>
    <row r="31" spans="1:35" s="40" customFormat="1" ht="15" hidden="1" customHeight="1" thickBot="1" x14ac:dyDescent="0.3">
      <c r="A31" s="377">
        <v>42736</v>
      </c>
      <c r="B31" s="378"/>
      <c r="C31" s="379"/>
      <c r="D31" s="380"/>
      <c r="E31" s="42"/>
      <c r="F31" s="43"/>
      <c r="G31" s="43"/>
      <c r="H31" s="381" t="s">
        <v>75</v>
      </c>
      <c r="I31" s="382"/>
      <c r="J31" s="382"/>
      <c r="K31" s="383"/>
      <c r="L31" s="44"/>
      <c r="M31" s="45"/>
      <c r="N31" s="384" t="s">
        <v>76</v>
      </c>
      <c r="O31" s="385"/>
      <c r="P31" s="385"/>
      <c r="Q31" s="386"/>
      <c r="R31" s="44"/>
      <c r="S31" s="45"/>
      <c r="T31" s="384" t="s">
        <v>77</v>
      </c>
      <c r="U31" s="385"/>
      <c r="V31" s="385"/>
      <c r="W31" s="386"/>
      <c r="X31" s="46"/>
      <c r="Y31" s="45"/>
      <c r="Z31" s="384" t="s">
        <v>78</v>
      </c>
      <c r="AA31" s="385"/>
      <c r="AB31" s="385"/>
      <c r="AC31" s="386"/>
      <c r="AE31" s="102"/>
      <c r="AF31" s="384" t="s">
        <v>138</v>
      </c>
      <c r="AG31" s="385"/>
      <c r="AH31" s="385"/>
      <c r="AI31" s="386"/>
    </row>
    <row r="32" spans="1:35" ht="23.25" hidden="1" thickBot="1" x14ac:dyDescent="0.3">
      <c r="A32" s="268"/>
      <c r="B32" s="47"/>
      <c r="C32" s="48" t="s">
        <v>79</v>
      </c>
      <c r="D32" s="49" t="s">
        <v>80</v>
      </c>
      <c r="E32" s="49"/>
      <c r="F32" s="49"/>
      <c r="G32" s="49"/>
      <c r="H32" s="50" t="s">
        <v>81</v>
      </c>
      <c r="I32" s="51" t="s">
        <v>82</v>
      </c>
      <c r="J32" s="51" t="s">
        <v>83</v>
      </c>
      <c r="K32" s="52" t="s">
        <v>84</v>
      </c>
      <c r="L32" s="53"/>
      <c r="M32" s="54"/>
      <c r="N32" s="50" t="s">
        <v>81</v>
      </c>
      <c r="O32" s="51" t="s">
        <v>82</v>
      </c>
      <c r="P32" s="51" t="s">
        <v>83</v>
      </c>
      <c r="Q32" s="55" t="s">
        <v>84</v>
      </c>
      <c r="R32" s="53"/>
      <c r="S32" s="54"/>
      <c r="T32" s="50" t="s">
        <v>81</v>
      </c>
      <c r="U32" s="51" t="s">
        <v>82</v>
      </c>
      <c r="V32" s="51" t="s">
        <v>83</v>
      </c>
      <c r="W32" s="55" t="s">
        <v>84</v>
      </c>
      <c r="X32" s="56"/>
      <c r="Y32" s="57"/>
      <c r="Z32" s="50" t="s">
        <v>81</v>
      </c>
      <c r="AA32" s="51" t="s">
        <v>82</v>
      </c>
      <c r="AB32" s="51" t="s">
        <v>83</v>
      </c>
      <c r="AC32" s="55" t="s">
        <v>84</v>
      </c>
      <c r="AE32" s="103"/>
      <c r="AF32" s="50" t="s">
        <v>81</v>
      </c>
      <c r="AG32" s="51" t="s">
        <v>82</v>
      </c>
      <c r="AH32" s="51" t="s">
        <v>83</v>
      </c>
      <c r="AI32" s="55" t="s">
        <v>84</v>
      </c>
    </row>
    <row r="33" spans="2:35" ht="22.5" hidden="1" thickTop="1" thickBot="1" x14ac:dyDescent="0.3">
      <c r="H33" s="12"/>
      <c r="I33" s="12"/>
      <c r="J33" s="12"/>
      <c r="K33" s="12"/>
      <c r="L33"/>
      <c r="N33" s="12"/>
      <c r="O33" s="12"/>
      <c r="P33" s="12"/>
      <c r="Q33" s="12"/>
      <c r="T33" s="12"/>
      <c r="U33" s="12"/>
      <c r="V33" s="12"/>
      <c r="W33" s="12"/>
      <c r="Z33" s="12"/>
      <c r="AA33" s="12"/>
      <c r="AB33" s="12"/>
      <c r="AC33" s="12"/>
      <c r="AE33" s="101"/>
      <c r="AF33" s="12"/>
      <c r="AG33" s="12"/>
      <c r="AH33" s="12"/>
      <c r="AI33" s="12"/>
    </row>
    <row r="34" spans="2:35" ht="22.5" hidden="1" thickTop="1" thickBot="1" x14ac:dyDescent="0.3">
      <c r="B34" s="41">
        <f>A31</f>
        <v>42736</v>
      </c>
      <c r="C34" s="58">
        <f>N1</f>
        <v>42045</v>
      </c>
      <c r="D34" s="59">
        <f>E34/30.5</f>
        <v>22.655737704918032</v>
      </c>
      <c r="E34" s="60">
        <f>B34-C34</f>
        <v>691</v>
      </c>
      <c r="F34" s="61"/>
      <c r="G34" s="61">
        <f>E34*1/2</f>
        <v>345.5</v>
      </c>
      <c r="H34" s="62">
        <f>INT(D34*1/2/12)</f>
        <v>0</v>
      </c>
      <c r="I34" s="63">
        <f>INT(D34*1/2-(H34*12))</f>
        <v>11</v>
      </c>
      <c r="J34" s="64">
        <f>ROUND((D34*1/2-(H34*12)-I34)*30,0)</f>
        <v>10</v>
      </c>
      <c r="K34" s="86">
        <f>B34-G34</f>
        <v>42390.5</v>
      </c>
      <c r="L34" s="65"/>
      <c r="M34" s="66">
        <f>E34*3/4</f>
        <v>518.25</v>
      </c>
      <c r="N34" s="62">
        <f>INT(D34*3/4/12)</f>
        <v>1</v>
      </c>
      <c r="O34" s="63">
        <f>INT(D34*3/4-(N34*12))</f>
        <v>4</v>
      </c>
      <c r="P34" s="64">
        <f>ROUND((D34*3/4-(N34*12)-O34)*30,0)</f>
        <v>30</v>
      </c>
      <c r="Q34" s="87">
        <f>B34-M34</f>
        <v>42217.75</v>
      </c>
      <c r="R34" s="65"/>
      <c r="S34" s="61">
        <f>E34*2/3</f>
        <v>460.66666666666669</v>
      </c>
      <c r="T34" s="62">
        <f>INT(D34*2/3/12)</f>
        <v>1</v>
      </c>
      <c r="U34" s="63">
        <f>INT(D34*2/3-(T34*12))</f>
        <v>3</v>
      </c>
      <c r="V34" s="64">
        <f>ROUND((D34*2/3-(T34*12)-U34)*30,0)</f>
        <v>3</v>
      </c>
      <c r="W34" s="87">
        <f>B34-S34</f>
        <v>42275.333333333336</v>
      </c>
      <c r="X34" s="67"/>
      <c r="Y34" s="66">
        <f>E34*4/3</f>
        <v>921.33333333333337</v>
      </c>
      <c r="Z34" s="62">
        <f>INT(D34*4/3/12)</f>
        <v>2</v>
      </c>
      <c r="AA34" s="63">
        <f>INT(D34*4/3-(Z34*12))</f>
        <v>6</v>
      </c>
      <c r="AB34" s="64">
        <f>ROUND((D34*4/3-(Z34*12)-AA34)*30,0)</f>
        <v>6</v>
      </c>
      <c r="AC34" s="87">
        <f>B34-Y34</f>
        <v>41814.666666666664</v>
      </c>
      <c r="AE34" s="100">
        <f>E34*2</f>
        <v>1382</v>
      </c>
      <c r="AF34" s="62">
        <f>INT(J34*4/3/12)</f>
        <v>1</v>
      </c>
      <c r="AG34" s="63">
        <f>INT(J34*4/3-(AF34*12))</f>
        <v>1</v>
      </c>
      <c r="AH34" s="64">
        <f>ROUND((J34*4/3-(AF34*12)-AG34)*30,0)</f>
        <v>10</v>
      </c>
      <c r="AI34" s="87">
        <f>C34-AE34</f>
        <v>40663</v>
      </c>
    </row>
    <row r="35" spans="2:35" hidden="1" x14ac:dyDescent="0.25">
      <c r="B35" s="41"/>
      <c r="C35" s="75"/>
      <c r="D35" s="76"/>
      <c r="E35" s="60"/>
      <c r="F35" s="61"/>
      <c r="G35" s="61"/>
      <c r="H35" s="70"/>
      <c r="I35" s="70"/>
      <c r="J35" s="73"/>
      <c r="K35" s="77"/>
      <c r="L35" s="61"/>
      <c r="M35" s="66"/>
      <c r="N35" s="70"/>
      <c r="O35" s="70"/>
      <c r="P35" s="73"/>
      <c r="Q35" s="67"/>
      <c r="R35" s="61"/>
      <c r="S35" s="61"/>
      <c r="T35" s="70"/>
      <c r="U35" s="70"/>
      <c r="V35" s="73"/>
      <c r="W35" s="67"/>
      <c r="X35" s="67"/>
      <c r="Y35" s="66"/>
      <c r="Z35" s="70"/>
      <c r="AA35" s="70"/>
      <c r="AB35" s="73"/>
      <c r="AC35" s="67"/>
      <c r="AE35" s="101"/>
    </row>
    <row r="36" spans="2:35" ht="21.75" hidden="1" thickBot="1" x14ac:dyDescent="0.3">
      <c r="F36" s="12"/>
      <c r="H36"/>
      <c r="L36"/>
      <c r="AE36" s="101"/>
    </row>
    <row r="37" spans="2:35" ht="12.75" hidden="1" customHeight="1" x14ac:dyDescent="0.25">
      <c r="F37" s="12"/>
      <c r="H37" s="381" t="s">
        <v>85</v>
      </c>
      <c r="I37" s="382"/>
      <c r="J37" s="382"/>
      <c r="K37" s="383"/>
      <c r="L37"/>
      <c r="N37" s="384" t="s">
        <v>90</v>
      </c>
      <c r="O37" s="385"/>
      <c r="P37" s="385"/>
      <c r="Q37" s="386"/>
      <c r="T37" s="384" t="s">
        <v>91</v>
      </c>
      <c r="U37" s="385"/>
      <c r="V37" s="385"/>
      <c r="W37" s="386"/>
      <c r="Z37" s="384" t="s">
        <v>132</v>
      </c>
      <c r="AA37" s="385"/>
      <c r="AB37" s="385"/>
      <c r="AC37" s="386"/>
      <c r="AE37" s="101"/>
      <c r="AF37" s="384" t="s">
        <v>141</v>
      </c>
      <c r="AG37" s="385"/>
      <c r="AH37" s="385"/>
      <c r="AI37" s="386"/>
    </row>
    <row r="38" spans="2:35" ht="23.25" hidden="1" thickBot="1" x14ac:dyDescent="0.3">
      <c r="F38" s="12"/>
      <c r="H38" s="50" t="s">
        <v>81</v>
      </c>
      <c r="I38" s="51" t="s">
        <v>82</v>
      </c>
      <c r="J38" s="51" t="s">
        <v>83</v>
      </c>
      <c r="K38" s="55" t="s">
        <v>84</v>
      </c>
      <c r="L38"/>
      <c r="N38" s="50" t="s">
        <v>81</v>
      </c>
      <c r="O38" s="51" t="s">
        <v>82</v>
      </c>
      <c r="P38" s="51" t="s">
        <v>83</v>
      </c>
      <c r="Q38" s="55" t="s">
        <v>84</v>
      </c>
      <c r="T38" s="50" t="s">
        <v>81</v>
      </c>
      <c r="U38" s="51" t="s">
        <v>82</v>
      </c>
      <c r="V38" s="51" t="s">
        <v>83</v>
      </c>
      <c r="W38" s="55" t="s">
        <v>84</v>
      </c>
      <c r="Z38" s="50" t="s">
        <v>81</v>
      </c>
      <c r="AA38" s="51" t="s">
        <v>82</v>
      </c>
      <c r="AB38" s="51" t="s">
        <v>83</v>
      </c>
      <c r="AC38" s="55" t="s">
        <v>84</v>
      </c>
      <c r="AE38" s="101"/>
      <c r="AF38" s="50" t="s">
        <v>81</v>
      </c>
      <c r="AG38" s="51" t="s">
        <v>82</v>
      </c>
      <c r="AH38" s="51" t="s">
        <v>83</v>
      </c>
      <c r="AI38" s="55" t="s">
        <v>84</v>
      </c>
    </row>
    <row r="39" spans="2:35" ht="6" hidden="1" customHeight="1" thickBot="1" x14ac:dyDescent="0.3">
      <c r="F39" s="12"/>
      <c r="H39"/>
      <c r="L39"/>
      <c r="AE39" s="101"/>
    </row>
    <row r="40" spans="2:35" ht="22.5" hidden="1" thickTop="1" thickBot="1" x14ac:dyDescent="0.3">
      <c r="B40" s="41">
        <f>A31</f>
        <v>42736</v>
      </c>
      <c r="C40" s="58">
        <f>N1</f>
        <v>42045</v>
      </c>
      <c r="D40" s="59">
        <f>E40/30.5</f>
        <v>22.655737704918032</v>
      </c>
      <c r="E40" s="60">
        <f>B40-C40</f>
        <v>691</v>
      </c>
      <c r="F40" s="61"/>
      <c r="G40" s="61">
        <f>E40*3/2</f>
        <v>1036.5</v>
      </c>
      <c r="H40" s="62">
        <f>INT(D40*3/2/12)</f>
        <v>2</v>
      </c>
      <c r="I40" s="63">
        <f>INT(D40*3/2-(H40*12))</f>
        <v>9</v>
      </c>
      <c r="J40" s="64">
        <f>ROUND((D40*3/2-(H40*12)-I40)*30,0)</f>
        <v>30</v>
      </c>
      <c r="K40" s="86">
        <f>B40-G40</f>
        <v>41699.5</v>
      </c>
      <c r="L40" s="65"/>
      <c r="M40" s="66">
        <f>E40*5/4</f>
        <v>863.75</v>
      </c>
      <c r="N40" s="62">
        <f>INT(D40*5/4/12)</f>
        <v>2</v>
      </c>
      <c r="O40" s="63">
        <f>INT(D40*5/4-(N40*12))</f>
        <v>4</v>
      </c>
      <c r="P40" s="64">
        <f>ROUND((D40*5/4-(N40*12)-O40)*30,0)</f>
        <v>10</v>
      </c>
      <c r="Q40" s="87">
        <f>B40-M40</f>
        <v>41872.25</v>
      </c>
      <c r="R40" s="65"/>
      <c r="S40" s="61">
        <f>E40*5/6</f>
        <v>575.83333333333337</v>
      </c>
      <c r="T40" s="62">
        <f>INT(D40*5/6/12)</f>
        <v>1</v>
      </c>
      <c r="U40" s="63">
        <f>INT(D40*5/6-(T40*12))</f>
        <v>6</v>
      </c>
      <c r="V40" s="64">
        <f>ROUND((D40*5/6-(T40*12)-U40)*30,0)</f>
        <v>26</v>
      </c>
      <c r="W40" s="87">
        <f>B40-S40</f>
        <v>42160.166666666664</v>
      </c>
      <c r="X40" s="67"/>
      <c r="Y40" s="66">
        <f>E40*7/6</f>
        <v>806.16666666666663</v>
      </c>
      <c r="Z40" s="62">
        <f>INT(D40*7/6/12)</f>
        <v>2</v>
      </c>
      <c r="AA40" s="63">
        <f>INT(D40*7/6-(Z40*12))</f>
        <v>2</v>
      </c>
      <c r="AB40" s="64">
        <f>ROUND((D40*7/6-(Z40*12)-AA40)*30,0)</f>
        <v>13</v>
      </c>
      <c r="AC40" s="87">
        <f>B40-Y40</f>
        <v>41929.833333333336</v>
      </c>
      <c r="AE40" s="100">
        <f>E40*6/7</f>
        <v>592.28571428571433</v>
      </c>
      <c r="AF40" s="62">
        <f>INT(J40*7/6/12)</f>
        <v>2</v>
      </c>
      <c r="AG40" s="63">
        <f>INT(J40*7/6-(AF40*12))</f>
        <v>11</v>
      </c>
      <c r="AH40" s="64">
        <f>ROUND((J40*7/6-(AF40*12)-AG40)*30,0)</f>
        <v>0</v>
      </c>
      <c r="AI40" s="87">
        <f>B40-AE40</f>
        <v>42143.714285714283</v>
      </c>
    </row>
    <row r="41" spans="2:35" hidden="1" x14ac:dyDescent="0.25">
      <c r="F41" s="12"/>
      <c r="H41"/>
      <c r="L41"/>
      <c r="AE41" s="101"/>
    </row>
    <row r="42" spans="2:35" ht="21.75" hidden="1" thickBot="1" x14ac:dyDescent="0.3">
      <c r="F42" s="12"/>
      <c r="H42"/>
      <c r="L42"/>
      <c r="AE42" s="101"/>
    </row>
    <row r="43" spans="2:35" ht="27.75" hidden="1" customHeight="1" x14ac:dyDescent="0.25">
      <c r="F43" s="12"/>
      <c r="H43" s="384" t="s">
        <v>92</v>
      </c>
      <c r="I43" s="385"/>
      <c r="J43" s="385"/>
      <c r="K43" s="386"/>
      <c r="L43"/>
      <c r="N43" s="384" t="s">
        <v>93</v>
      </c>
      <c r="O43" s="385"/>
      <c r="P43" s="385"/>
      <c r="Q43" s="386"/>
      <c r="T43" s="384" t="s">
        <v>142</v>
      </c>
      <c r="U43" s="385"/>
      <c r="V43" s="385"/>
      <c r="W43" s="386"/>
      <c r="AE43" s="101"/>
    </row>
    <row r="44" spans="2:35" ht="23.25" hidden="1" thickBot="1" x14ac:dyDescent="0.3">
      <c r="F44" s="12"/>
      <c r="H44" s="50" t="s">
        <v>81</v>
      </c>
      <c r="I44" s="51" t="s">
        <v>82</v>
      </c>
      <c r="J44" s="51" t="s">
        <v>83</v>
      </c>
      <c r="K44" s="55" t="s">
        <v>84</v>
      </c>
      <c r="L44"/>
      <c r="N44" s="50" t="s">
        <v>81</v>
      </c>
      <c r="O44" s="51" t="s">
        <v>82</v>
      </c>
      <c r="P44" s="51" t="s">
        <v>83</v>
      </c>
      <c r="Q44" s="55" t="s">
        <v>84</v>
      </c>
      <c r="T44" s="50"/>
      <c r="U44" s="51"/>
      <c r="V44" s="51"/>
      <c r="W44" s="55"/>
      <c r="AE44" s="101"/>
    </row>
    <row r="45" spans="2:35" ht="6" hidden="1" customHeight="1" thickBot="1" x14ac:dyDescent="0.3">
      <c r="F45" s="12"/>
      <c r="H45"/>
      <c r="L45"/>
      <c r="AE45" s="101"/>
    </row>
    <row r="46" spans="2:35" ht="22.5" hidden="1" thickTop="1" thickBot="1" x14ac:dyDescent="0.3">
      <c r="B46" s="41">
        <f>A31</f>
        <v>42736</v>
      </c>
      <c r="C46" s="58">
        <f>N1+(6*30.5)-1</f>
        <v>42227</v>
      </c>
      <c r="D46" s="59">
        <f>E46/30.5</f>
        <v>16.688524590163933</v>
      </c>
      <c r="E46" s="60">
        <f>B46-C46</f>
        <v>509</v>
      </c>
      <c r="F46" s="61"/>
      <c r="G46" s="61">
        <f>E46*2/3</f>
        <v>339.33333333333331</v>
      </c>
      <c r="H46" s="62">
        <f>INT(D46*2/3/12)</f>
        <v>0</v>
      </c>
      <c r="I46" s="63">
        <f>INT(D46*2/3-(H46*12))</f>
        <v>11</v>
      </c>
      <c r="J46" s="64">
        <f>ROUND((D46*2/3-(H46*12)-I46)*30,0)</f>
        <v>4</v>
      </c>
      <c r="K46" s="86">
        <f>B46-G46</f>
        <v>42396.666666666664</v>
      </c>
      <c r="L46" s="65"/>
      <c r="M46" s="66">
        <f>E46*4/3</f>
        <v>678.66666666666663</v>
      </c>
      <c r="N46" s="62">
        <f>INT(D46*4/3/12)</f>
        <v>1</v>
      </c>
      <c r="O46" s="63">
        <f>INT(D46*4/3-(N46*12))</f>
        <v>10</v>
      </c>
      <c r="P46" s="64">
        <f>ROUND((D46*4/3-(N46*12)-O46)*30,0)</f>
        <v>8</v>
      </c>
      <c r="Q46" s="87">
        <f>B46-M46</f>
        <v>42057.333333333336</v>
      </c>
      <c r="R46" s="61"/>
      <c r="S46" s="61">
        <f>E34*1/3</f>
        <v>230.33333333333334</v>
      </c>
      <c r="T46" s="62">
        <f>INT(D34*1/3/12)</f>
        <v>0</v>
      </c>
      <c r="U46" s="63">
        <f>INT(D34*1/3-(T46*12))</f>
        <v>7</v>
      </c>
      <c r="V46" s="64">
        <f>ROUND((D34*1/3-(T46*12)-U46)*30,0)</f>
        <v>17</v>
      </c>
      <c r="W46" s="87">
        <f>B34-S46</f>
        <v>42505.666666666664</v>
      </c>
      <c r="X46" s="67"/>
      <c r="Y46" s="66"/>
      <c r="Z46" s="70"/>
      <c r="AA46" s="70"/>
      <c r="AB46" s="73"/>
      <c r="AC46" s="67"/>
      <c r="AE46" s="101"/>
    </row>
    <row r="47" spans="2:35" hidden="1" x14ac:dyDescent="0.25">
      <c r="F47" s="12"/>
      <c r="H47"/>
      <c r="L47"/>
      <c r="AE47" s="101"/>
    </row>
    <row r="48" spans="2:35" ht="21.75" hidden="1" thickBot="1" x14ac:dyDescent="0.3">
      <c r="F48" s="12"/>
      <c r="H48"/>
      <c r="L48"/>
      <c r="AE48" s="101"/>
    </row>
    <row r="49" spans="2:31" ht="27.75" hidden="1" customHeight="1" x14ac:dyDescent="0.25">
      <c r="F49" s="12"/>
      <c r="H49" s="384" t="s">
        <v>139</v>
      </c>
      <c r="I49" s="385"/>
      <c r="J49" s="385"/>
      <c r="K49" s="386"/>
      <c r="L49"/>
      <c r="AE49" s="101"/>
    </row>
    <row r="50" spans="2:31" ht="23.25" hidden="1" thickBot="1" x14ac:dyDescent="0.3">
      <c r="F50" s="12"/>
      <c r="H50" s="50" t="s">
        <v>81</v>
      </c>
      <c r="I50" s="51" t="s">
        <v>82</v>
      </c>
      <c r="J50" s="51" t="s">
        <v>83</v>
      </c>
      <c r="K50" s="55" t="s">
        <v>84</v>
      </c>
      <c r="L50"/>
      <c r="AE50" s="101"/>
    </row>
    <row r="51" spans="2:31" ht="21.75" hidden="1" thickBot="1" x14ac:dyDescent="0.3">
      <c r="F51" s="12"/>
      <c r="H51"/>
      <c r="L51"/>
      <c r="AE51" s="101"/>
    </row>
    <row r="52" spans="2:31" ht="22.5" hidden="1" thickTop="1" thickBot="1" x14ac:dyDescent="0.3">
      <c r="B52" s="41">
        <f>A31</f>
        <v>42736</v>
      </c>
      <c r="C52" s="58">
        <f>N1+(12*30.5)-1</f>
        <v>42410</v>
      </c>
      <c r="D52" s="59">
        <f>E52/30.5</f>
        <v>10.688524590163935</v>
      </c>
      <c r="E52" s="60">
        <f>B52-C52</f>
        <v>326</v>
      </c>
      <c r="F52" s="12"/>
      <c r="G52" s="68">
        <f>E52</f>
        <v>326</v>
      </c>
      <c r="H52" s="62">
        <f>INT(D52*2/3/12)</f>
        <v>0</v>
      </c>
      <c r="I52" s="63">
        <f>INT(D52*2/3-(H52*12))</f>
        <v>7</v>
      </c>
      <c r="J52" s="64">
        <f>ROUND((D52*2/3-(H52*12)-I52)*30,0)</f>
        <v>4</v>
      </c>
      <c r="K52" s="86">
        <f>B52-G52</f>
        <v>42410</v>
      </c>
      <c r="L52"/>
      <c r="AE52" s="101"/>
    </row>
    <row r="53" spans="2:31" hidden="1" x14ac:dyDescent="0.25">
      <c r="F53" s="12"/>
      <c r="H53"/>
      <c r="L53"/>
      <c r="AE53" s="101"/>
    </row>
    <row r="54" spans="2:31" ht="21.75" hidden="1" thickBot="1" x14ac:dyDescent="0.3">
      <c r="F54" s="12"/>
      <c r="H54"/>
      <c r="L54"/>
      <c r="AE54" s="101"/>
    </row>
    <row r="55" spans="2:31" ht="27.75" hidden="1" customHeight="1" x14ac:dyDescent="0.25">
      <c r="F55" s="12"/>
      <c r="H55" s="384" t="s">
        <v>94</v>
      </c>
      <c r="I55" s="385"/>
      <c r="J55" s="385"/>
      <c r="K55" s="386"/>
      <c r="L55"/>
      <c r="N55" s="384" t="s">
        <v>95</v>
      </c>
      <c r="O55" s="385"/>
      <c r="P55" s="385"/>
      <c r="Q55" s="386"/>
      <c r="AE55" s="101"/>
    </row>
    <row r="56" spans="2:31" ht="23.25" hidden="1" thickBot="1" x14ac:dyDescent="0.3">
      <c r="F56" s="12"/>
      <c r="H56" s="50" t="s">
        <v>81</v>
      </c>
      <c r="I56" s="51" t="s">
        <v>82</v>
      </c>
      <c r="J56" s="51" t="s">
        <v>83</v>
      </c>
      <c r="K56" s="55" t="s">
        <v>84</v>
      </c>
      <c r="L56"/>
      <c r="N56" s="50" t="s">
        <v>81</v>
      </c>
      <c r="O56" s="51" t="s">
        <v>82</v>
      </c>
      <c r="P56" s="51" t="s">
        <v>83</v>
      </c>
      <c r="Q56" s="55" t="s">
        <v>84</v>
      </c>
      <c r="AE56" s="101"/>
    </row>
    <row r="57" spans="2:31" ht="6" hidden="1" customHeight="1" thickBot="1" x14ac:dyDescent="0.3">
      <c r="F57" s="12"/>
      <c r="H57"/>
      <c r="L57"/>
      <c r="AE57" s="101"/>
    </row>
    <row r="58" spans="2:31" ht="22.5" hidden="1" thickTop="1" thickBot="1" x14ac:dyDescent="0.3">
      <c r="B58" s="41">
        <f>A31</f>
        <v>42736</v>
      </c>
      <c r="C58" s="58">
        <f>N1+(18*30.5)-1</f>
        <v>42593</v>
      </c>
      <c r="D58" s="59">
        <f>E58/30.5</f>
        <v>4.6885245901639347</v>
      </c>
      <c r="E58" s="60">
        <f>B58-C58</f>
        <v>143</v>
      </c>
      <c r="F58" s="61"/>
      <c r="G58" s="61">
        <f>E58*5/3</f>
        <v>238.33333333333334</v>
      </c>
      <c r="H58" s="62">
        <f>INT(D58*5/3/12)</f>
        <v>0</v>
      </c>
      <c r="I58" s="63">
        <f>INT(D58*5/3-(H58*12))</f>
        <v>7</v>
      </c>
      <c r="J58" s="64">
        <f>ROUND((D58*5/3-(H58*12)-I58)*30,0)</f>
        <v>24</v>
      </c>
      <c r="K58" s="86">
        <f>B58-G58</f>
        <v>42497.666666666664</v>
      </c>
      <c r="L58" s="65"/>
      <c r="M58" s="66">
        <f>E58*8/3</f>
        <v>381.33333333333331</v>
      </c>
      <c r="N58" s="62">
        <f>INT(D58*8/3/12)</f>
        <v>1</v>
      </c>
      <c r="O58" s="63">
        <f>INT(D58*8/3-(N58*12))</f>
        <v>0</v>
      </c>
      <c r="P58" s="64">
        <f>ROUND((D58*8/3-(N58*12)-O58)*30,0)</f>
        <v>15</v>
      </c>
      <c r="Q58" s="87">
        <f>B58-M58</f>
        <v>42354.666666666664</v>
      </c>
      <c r="R58" s="61"/>
      <c r="S58" s="61"/>
      <c r="T58" s="70"/>
      <c r="U58" s="70"/>
      <c r="V58" s="73"/>
      <c r="W58" s="67"/>
      <c r="X58" s="67"/>
      <c r="Y58" s="66"/>
      <c r="Z58" s="70"/>
      <c r="AA58" s="70"/>
      <c r="AB58" s="73"/>
      <c r="AC58" s="67"/>
      <c r="AE58" s="101"/>
    </row>
    <row r="59" spans="2:31" hidden="1" x14ac:dyDescent="0.25">
      <c r="F59" s="12"/>
      <c r="H59"/>
      <c r="L59"/>
      <c r="AE59" s="101"/>
    </row>
    <row r="60" spans="2:31" ht="21.75" hidden="1" thickBot="1" x14ac:dyDescent="0.3">
      <c r="F60" s="12"/>
      <c r="H60"/>
      <c r="L60"/>
      <c r="AE60" s="101"/>
    </row>
    <row r="61" spans="2:31" ht="27.75" hidden="1" customHeight="1" x14ac:dyDescent="0.25">
      <c r="F61" s="12"/>
      <c r="H61" s="384" t="s">
        <v>96</v>
      </c>
      <c r="I61" s="385"/>
      <c r="J61" s="385"/>
      <c r="K61" s="386"/>
      <c r="L61"/>
      <c r="N61" s="384" t="s">
        <v>140</v>
      </c>
      <c r="O61" s="385"/>
      <c r="P61" s="385"/>
      <c r="Q61" s="386"/>
      <c r="AE61" s="101"/>
    </row>
    <row r="62" spans="2:31" ht="23.25" hidden="1" thickBot="1" x14ac:dyDescent="0.3">
      <c r="F62" s="12"/>
      <c r="H62" s="50" t="s">
        <v>81</v>
      </c>
      <c r="I62" s="51" t="s">
        <v>82</v>
      </c>
      <c r="J62" s="51" t="s">
        <v>83</v>
      </c>
      <c r="K62" s="55" t="s">
        <v>84</v>
      </c>
      <c r="L62"/>
      <c r="N62" s="50" t="s">
        <v>81</v>
      </c>
      <c r="O62" s="51" t="s">
        <v>82</v>
      </c>
      <c r="P62" s="51" t="s">
        <v>83</v>
      </c>
      <c r="Q62" s="55" t="s">
        <v>84</v>
      </c>
      <c r="AE62" s="101"/>
    </row>
    <row r="63" spans="2:31" ht="6" hidden="1" customHeight="1" thickBot="1" x14ac:dyDescent="0.3">
      <c r="F63" s="12"/>
      <c r="H63"/>
      <c r="L63"/>
      <c r="AE63" s="101"/>
    </row>
    <row r="64" spans="2:31" ht="22.5" hidden="1" thickTop="1" thickBot="1" x14ac:dyDescent="0.3">
      <c r="B64" s="41">
        <f>A31</f>
        <v>42736</v>
      </c>
      <c r="C64" s="58">
        <f>N1+(24*30.5)-1</f>
        <v>42776</v>
      </c>
      <c r="D64" s="59">
        <f>E64/30.5</f>
        <v>-1.3114754098360655</v>
      </c>
      <c r="E64" s="60">
        <f>B64-C64</f>
        <v>-40</v>
      </c>
      <c r="F64" s="61"/>
      <c r="G64" s="61">
        <f>E64*5/4</f>
        <v>-50</v>
      </c>
      <c r="H64" s="62">
        <f>INT(D64*5/4/12)</f>
        <v>-1</v>
      </c>
      <c r="I64" s="63">
        <f>INT(D64*5/4-(H64*12))</f>
        <v>10</v>
      </c>
      <c r="J64" s="64">
        <f>ROUND((D64*5/4-(H64*12)-I64)*30,0)</f>
        <v>11</v>
      </c>
      <c r="K64" s="86">
        <f>B64-G64</f>
        <v>42786</v>
      </c>
      <c r="L64" s="61"/>
      <c r="M64" s="68">
        <f>E64</f>
        <v>-40</v>
      </c>
      <c r="N64" s="62">
        <f>INT(J64/12)</f>
        <v>0</v>
      </c>
      <c r="O64" s="63">
        <f>INT(J64-(N64*12))</f>
        <v>11</v>
      </c>
      <c r="P64" s="64">
        <f>ROUND((J64-(N64*12)-O64)*30,0)</f>
        <v>0</v>
      </c>
      <c r="Q64" s="86">
        <f>B64-M64</f>
        <v>42776</v>
      </c>
      <c r="R64" s="61"/>
      <c r="S64" s="61"/>
      <c r="T64" s="70"/>
      <c r="U64" s="70"/>
      <c r="V64" s="73"/>
      <c r="W64" s="67"/>
      <c r="X64" s="67"/>
      <c r="Y64" s="66"/>
      <c r="Z64" s="70"/>
      <c r="AA64" s="70"/>
      <c r="AB64" s="73"/>
      <c r="AC64" s="67"/>
      <c r="AE64" s="101"/>
    </row>
    <row r="65" spans="2:31" hidden="1" x14ac:dyDescent="0.25">
      <c r="F65" s="12"/>
      <c r="H65"/>
      <c r="L65"/>
      <c r="AE65" s="101"/>
    </row>
    <row r="66" spans="2:31" ht="21.75" hidden="1" thickBot="1" x14ac:dyDescent="0.3">
      <c r="H66"/>
      <c r="L66"/>
      <c r="AE66" s="101"/>
    </row>
    <row r="67" spans="2:31" ht="27.75" hidden="1" customHeight="1" x14ac:dyDescent="0.25">
      <c r="F67" s="12"/>
      <c r="H67" s="384" t="s">
        <v>164</v>
      </c>
      <c r="I67" s="385"/>
      <c r="J67" s="385"/>
      <c r="K67" s="386"/>
      <c r="L67"/>
      <c r="AE67" s="101"/>
    </row>
    <row r="68" spans="2:31" ht="23.25" hidden="1" thickBot="1" x14ac:dyDescent="0.3">
      <c r="F68" s="12"/>
      <c r="H68" s="50" t="s">
        <v>81</v>
      </c>
      <c r="I68" s="51" t="s">
        <v>82</v>
      </c>
      <c r="J68" s="51" t="s">
        <v>83</v>
      </c>
      <c r="K68" s="55" t="s">
        <v>84</v>
      </c>
      <c r="L68"/>
      <c r="AE68" s="101"/>
    </row>
    <row r="69" spans="2:31" ht="21.75" hidden="1" thickBot="1" x14ac:dyDescent="0.3">
      <c r="F69" s="12"/>
      <c r="H69"/>
      <c r="L69"/>
      <c r="AE69" s="101"/>
    </row>
    <row r="70" spans="2:31" ht="22.5" hidden="1" thickTop="1" thickBot="1" x14ac:dyDescent="0.3">
      <c r="B70" s="41">
        <f>A31</f>
        <v>42736</v>
      </c>
      <c r="C70" s="58">
        <f>N1+(36*30.5)-1</f>
        <v>43142</v>
      </c>
      <c r="D70" s="59">
        <f>E70/30.5</f>
        <v>-13.311475409836065</v>
      </c>
      <c r="E70" s="60">
        <f>B70-C70</f>
        <v>-406</v>
      </c>
      <c r="F70" s="61"/>
      <c r="G70" s="61">
        <f>E70*3</f>
        <v>-1218</v>
      </c>
      <c r="H70" s="62">
        <f>INT(D70*5/4/12)</f>
        <v>-2</v>
      </c>
      <c r="I70" s="63">
        <f>INT(D70*5/4-(H70*12))</f>
        <v>7</v>
      </c>
      <c r="J70" s="64">
        <f>ROUND((D70*5/4-(H70*12)-I70)*30,0)</f>
        <v>11</v>
      </c>
      <c r="K70" s="86">
        <f>B70-G70</f>
        <v>43954</v>
      </c>
      <c r="L70"/>
      <c r="AE70" s="101"/>
    </row>
    <row r="71" spans="2:31" hidden="1" x14ac:dyDescent="0.25">
      <c r="H71"/>
      <c r="L71"/>
      <c r="AE71" s="101"/>
    </row>
    <row r="72" spans="2:31" hidden="1" x14ac:dyDescent="0.25"/>
    <row r="73" spans="2:31" hidden="1" x14ac:dyDescent="0.25"/>
    <row r="78" spans="2:31" x14ac:dyDescent="0.25">
      <c r="D78" s="36"/>
    </row>
  </sheetData>
  <sheetProtection password="EB30" sheet="1" objects="1" scenarios="1" selectLockedCells="1"/>
  <mergeCells count="36">
    <mergeCell ref="H67:K67"/>
    <mergeCell ref="P8:P11"/>
    <mergeCell ref="N1:R1"/>
    <mergeCell ref="T37:W37"/>
    <mergeCell ref="Z37:AC37"/>
    <mergeCell ref="H49:K49"/>
    <mergeCell ref="H55:K55"/>
    <mergeCell ref="N55:Q55"/>
    <mergeCell ref="H61:K61"/>
    <mergeCell ref="N61:Q61"/>
    <mergeCell ref="J1:M1"/>
    <mergeCell ref="I5:K5"/>
    <mergeCell ref="AF37:AI37"/>
    <mergeCell ref="H43:K43"/>
    <mergeCell ref="N43:Q43"/>
    <mergeCell ref="T43:W43"/>
    <mergeCell ref="A31:B31"/>
    <mergeCell ref="C31:D31"/>
    <mergeCell ref="H31:K31"/>
    <mergeCell ref="N31:Q31"/>
    <mergeCell ref="H37:K37"/>
    <mergeCell ref="N37:Q37"/>
    <mergeCell ref="T31:W31"/>
    <mergeCell ref="Z31:AC31"/>
    <mergeCell ref="AF31:AI31"/>
    <mergeCell ref="C8:E8"/>
    <mergeCell ref="J14:J15"/>
    <mergeCell ref="J16:J17"/>
    <mergeCell ref="H3:M3"/>
    <mergeCell ref="B3:F3"/>
    <mergeCell ref="L8:N8"/>
    <mergeCell ref="I9:K9"/>
    <mergeCell ref="I8:K8"/>
    <mergeCell ref="I4:K4"/>
    <mergeCell ref="I6:K6"/>
    <mergeCell ref="I7:K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80"/>
  <sheetViews>
    <sheetView showGridLines="0" zoomScale="80" zoomScaleNormal="80" workbookViewId="0">
      <selection activeCell="N1" sqref="N1:R1"/>
    </sheetView>
  </sheetViews>
  <sheetFormatPr baseColWidth="10" defaultRowHeight="21" x14ac:dyDescent="0.25"/>
  <cols>
    <col min="1" max="1" width="25" style="265" customWidth="1"/>
    <col min="2" max="2" width="9" customWidth="1"/>
    <col min="3" max="3" width="8" customWidth="1"/>
    <col min="4" max="4" width="9.7109375" style="78" customWidth="1"/>
    <col min="5" max="5" width="10.28515625" customWidth="1"/>
    <col min="6" max="6" width="7.7109375" customWidth="1"/>
    <col min="7" max="7" width="8.85546875" customWidth="1"/>
    <col min="8" max="8" width="18.28515625" customWidth="1"/>
    <col min="9" max="9" width="6.7109375" style="78" customWidth="1"/>
    <col min="10" max="14" width="14.7109375" style="94" customWidth="1"/>
    <col min="15" max="15" width="2.85546875" customWidth="1"/>
    <col min="16" max="16" width="18.85546875" customWidth="1"/>
    <col min="17" max="17" width="17" customWidth="1"/>
    <col min="19" max="22" width="4.85546875" customWidth="1"/>
    <col min="24" max="28" width="6.7109375" customWidth="1"/>
    <col min="30" max="34" width="6" customWidth="1"/>
  </cols>
  <sheetData>
    <row r="1" spans="1:19" ht="27" thickBot="1" x14ac:dyDescent="0.3">
      <c r="D1" s="121"/>
      <c r="I1" s="121"/>
      <c r="J1" s="348" t="s">
        <v>165</v>
      </c>
      <c r="K1" s="349"/>
      <c r="L1" s="349"/>
      <c r="M1" s="349"/>
      <c r="N1" s="362">
        <v>41671</v>
      </c>
      <c r="O1" s="363"/>
      <c r="P1" s="363"/>
      <c r="Q1" s="363"/>
      <c r="R1" s="363"/>
    </row>
    <row r="2" spans="1:19" ht="21.75" thickBot="1" x14ac:dyDescent="0.3">
      <c r="D2" s="121"/>
      <c r="I2" s="121"/>
      <c r="J2" s="121"/>
      <c r="K2" s="121"/>
      <c r="L2" s="121"/>
      <c r="M2" s="121"/>
      <c r="N2" s="121"/>
    </row>
    <row r="3" spans="1:19" ht="29.25" thickBot="1" x14ac:dyDescent="0.3">
      <c r="B3" s="352" t="s">
        <v>202</v>
      </c>
      <c r="C3" s="353"/>
      <c r="D3" s="353"/>
      <c r="E3" s="353"/>
      <c r="F3" s="354"/>
    </row>
    <row r="4" spans="1:19" ht="27" thickBot="1" x14ac:dyDescent="0.4">
      <c r="C4" s="202"/>
      <c r="D4" s="202"/>
      <c r="E4" s="202"/>
      <c r="F4" s="36"/>
      <c r="G4" s="69"/>
      <c r="H4" s="357" t="s">
        <v>173</v>
      </c>
      <c r="I4" s="357"/>
      <c r="J4" s="357"/>
      <c r="K4" s="357"/>
      <c r="L4" s="357"/>
      <c r="M4" s="357"/>
      <c r="N4" s="203"/>
      <c r="O4" s="203"/>
      <c r="P4" s="203"/>
      <c r="Q4" s="203"/>
      <c r="R4" s="204"/>
      <c r="S4" s="204"/>
    </row>
    <row r="5" spans="1:19" ht="21.75" customHeight="1" x14ac:dyDescent="0.25">
      <c r="A5" s="291" t="s">
        <v>218</v>
      </c>
      <c r="G5" s="36"/>
      <c r="H5" s="232"/>
      <c r="I5" s="393" t="s">
        <v>266</v>
      </c>
      <c r="J5" s="394"/>
      <c r="K5" s="395"/>
      <c r="N5" s="203"/>
      <c r="O5" s="203"/>
      <c r="P5" s="358" t="s">
        <v>166</v>
      </c>
      <c r="Q5" s="203"/>
      <c r="R5" s="204"/>
      <c r="S5" s="204"/>
    </row>
    <row r="6" spans="1:19" ht="21.75" customHeight="1" x14ac:dyDescent="0.25">
      <c r="A6" s="292" t="s">
        <v>260</v>
      </c>
      <c r="D6" s="121"/>
      <c r="G6" s="36"/>
      <c r="H6" s="232"/>
      <c r="I6" s="368" t="s">
        <v>260</v>
      </c>
      <c r="J6" s="369"/>
      <c r="K6" s="370"/>
      <c r="L6" s="121"/>
      <c r="M6" s="121"/>
      <c r="N6" s="323"/>
      <c r="O6" s="323"/>
      <c r="P6" s="359"/>
      <c r="Q6" s="323"/>
      <c r="R6" s="204"/>
      <c r="S6" s="204"/>
    </row>
    <row r="7" spans="1:19" ht="21.75" customHeight="1" x14ac:dyDescent="0.25">
      <c r="A7" s="292" t="s">
        <v>249</v>
      </c>
      <c r="D7" s="121"/>
      <c r="G7" s="36"/>
      <c r="H7" s="232"/>
      <c r="I7" s="396" t="s">
        <v>251</v>
      </c>
      <c r="J7" s="397"/>
      <c r="K7" s="398"/>
      <c r="L7" s="121"/>
      <c r="M7" s="121"/>
      <c r="N7" s="317"/>
      <c r="O7" s="317"/>
      <c r="P7" s="359"/>
      <c r="Q7" s="317"/>
      <c r="R7" s="204"/>
      <c r="S7" s="204"/>
    </row>
    <row r="8" spans="1:19" ht="21.75" customHeight="1" x14ac:dyDescent="0.25">
      <c r="A8" s="292" t="s">
        <v>250</v>
      </c>
      <c r="D8" s="121"/>
      <c r="G8" s="36"/>
      <c r="H8" s="232"/>
      <c r="I8" s="399" t="s">
        <v>252</v>
      </c>
      <c r="J8" s="400"/>
      <c r="K8" s="401"/>
      <c r="L8" s="121"/>
      <c r="M8" s="121"/>
      <c r="N8" s="317"/>
      <c r="O8" s="317"/>
      <c r="P8" s="359"/>
      <c r="Q8" s="317"/>
      <c r="R8" s="204"/>
      <c r="S8" s="204"/>
    </row>
    <row r="9" spans="1:19" ht="21.75" customHeight="1" x14ac:dyDescent="0.35">
      <c r="A9" s="292" t="s">
        <v>219</v>
      </c>
      <c r="C9" s="374" t="s">
        <v>55</v>
      </c>
      <c r="D9" s="374"/>
      <c r="E9" s="374"/>
      <c r="F9" s="36"/>
      <c r="G9" s="36"/>
      <c r="H9" s="232"/>
      <c r="I9" s="399" t="s">
        <v>253</v>
      </c>
      <c r="J9" s="400"/>
      <c r="K9" s="401"/>
      <c r="L9" s="364" t="s">
        <v>88</v>
      </c>
      <c r="M9" s="364"/>
      <c r="N9" s="364"/>
      <c r="O9" s="203"/>
      <c r="P9" s="359"/>
      <c r="Q9" s="203"/>
      <c r="R9" s="204"/>
      <c r="S9" s="204"/>
    </row>
    <row r="10" spans="1:19" ht="21.75" customHeight="1" x14ac:dyDescent="0.25">
      <c r="A10" s="293" t="s">
        <v>220</v>
      </c>
      <c r="H10" s="232"/>
      <c r="I10" s="371" t="s">
        <v>254</v>
      </c>
      <c r="J10" s="372"/>
      <c r="K10" s="373"/>
      <c r="P10" s="359"/>
    </row>
    <row r="11" spans="1:19" ht="21.75" thickBot="1" x14ac:dyDescent="0.3">
      <c r="B11" s="137" t="s">
        <v>37</v>
      </c>
      <c r="C11" s="137" t="s">
        <v>38</v>
      </c>
      <c r="D11" s="175" t="s">
        <v>39</v>
      </c>
      <c r="E11" s="175" t="s">
        <v>40</v>
      </c>
      <c r="F11" s="175" t="s">
        <v>39</v>
      </c>
      <c r="G11" s="122"/>
      <c r="H11" s="270" t="s">
        <v>99</v>
      </c>
      <c r="I11" s="78" t="s">
        <v>97</v>
      </c>
      <c r="J11" s="137" t="s">
        <v>37</v>
      </c>
      <c r="K11" s="137" t="s">
        <v>38</v>
      </c>
      <c r="L11" s="175" t="s">
        <v>39</v>
      </c>
      <c r="M11" s="175" t="s">
        <v>40</v>
      </c>
      <c r="N11" s="175" t="s">
        <v>39</v>
      </c>
      <c r="P11" s="360"/>
    </row>
    <row r="12" spans="1:19" x14ac:dyDescent="0.25">
      <c r="B12" s="138"/>
      <c r="C12" s="138"/>
      <c r="D12" s="175" t="s">
        <v>41</v>
      </c>
      <c r="E12" s="175" t="s">
        <v>42</v>
      </c>
      <c r="F12" s="175" t="s">
        <v>43</v>
      </c>
      <c r="G12" s="122"/>
      <c r="H12" s="92"/>
      <c r="I12" s="78" t="s">
        <v>98</v>
      </c>
      <c r="J12" s="138"/>
      <c r="K12" s="138"/>
      <c r="L12" s="175" t="s">
        <v>41</v>
      </c>
      <c r="M12" s="175" t="s">
        <v>42</v>
      </c>
      <c r="N12" s="175" t="s">
        <v>43</v>
      </c>
    </row>
    <row r="13" spans="1:19" x14ac:dyDescent="0.35">
      <c r="B13" s="165"/>
      <c r="C13" s="165"/>
      <c r="D13" s="165"/>
      <c r="E13" s="165"/>
      <c r="F13" s="165"/>
      <c r="G13" s="122"/>
      <c r="H13" s="92"/>
      <c r="J13" s="197">
        <v>1</v>
      </c>
      <c r="K13" s="135">
        <v>1</v>
      </c>
      <c r="L13" s="168">
        <f>LOOKUP(N13,'IB-IM et VP'!A:A,'IB-IM et VP'!C:C)</f>
        <v>345</v>
      </c>
      <c r="M13" s="176">
        <f>L13*'IB-IM et VP'!P3</f>
        <v>1607.0358749999998</v>
      </c>
      <c r="N13" s="168">
        <v>374</v>
      </c>
      <c r="P13" s="205"/>
    </row>
    <row r="14" spans="1:19" x14ac:dyDescent="0.35">
      <c r="B14" s="197">
        <v>1</v>
      </c>
      <c r="C14" s="135">
        <v>1</v>
      </c>
      <c r="D14" s="135">
        <f>LOOKUP(F14,'IB-IM et VP'!A:A,'IB-IM et VP'!C:C)</f>
        <v>338</v>
      </c>
      <c r="E14" s="176">
        <f>D14*'IB-IM et VP'!P3</f>
        <v>1574.4293499999997</v>
      </c>
      <c r="F14" s="135">
        <v>364</v>
      </c>
      <c r="G14" s="122"/>
      <c r="H14" s="227" t="s">
        <v>56</v>
      </c>
      <c r="I14" s="78">
        <f>L14-D14</f>
        <v>17</v>
      </c>
      <c r="J14" s="197">
        <v>2</v>
      </c>
      <c r="K14" s="135">
        <v>1</v>
      </c>
      <c r="L14" s="168">
        <f>LOOKUP(N14,'IB-IM et VP'!A:A,'IB-IM et VP'!C:C)</f>
        <v>355</v>
      </c>
      <c r="M14" s="176">
        <f>L14*'IB-IM et VP'!P3</f>
        <v>1653.6166249999997</v>
      </c>
      <c r="N14" s="206">
        <v>388</v>
      </c>
      <c r="O14" s="190"/>
      <c r="P14" s="209">
        <f>N1</f>
        <v>41671</v>
      </c>
    </row>
    <row r="15" spans="1:19" x14ac:dyDescent="0.35">
      <c r="B15" s="197">
        <v>2</v>
      </c>
      <c r="C15" s="135">
        <v>1</v>
      </c>
      <c r="D15" s="135">
        <f>LOOKUP(F15,'IB-IM et VP'!A:A,'IB-IM et VP'!C:C)</f>
        <v>345</v>
      </c>
      <c r="E15" s="176">
        <f>D15*'IB-IM et VP'!P3</f>
        <v>1607.0358749999998</v>
      </c>
      <c r="F15" s="135">
        <v>374</v>
      </c>
      <c r="G15" s="122"/>
      <c r="H15" s="227" t="s">
        <v>57</v>
      </c>
      <c r="I15" s="78">
        <f t="shared" ref="I15:I23" si="0">L15-D15</f>
        <v>20</v>
      </c>
      <c r="J15" s="375">
        <v>3</v>
      </c>
      <c r="K15" s="135">
        <v>2</v>
      </c>
      <c r="L15" s="168">
        <f>LOOKUP(N15,'IB-IM et VP'!A:A,'IB-IM et VP'!C:C)</f>
        <v>365</v>
      </c>
      <c r="M15" s="176">
        <f>L15*'IB-IM et VP'!P3</f>
        <v>1700.1973749999997</v>
      </c>
      <c r="N15" s="168">
        <v>404</v>
      </c>
      <c r="P15" s="208">
        <f>A34</f>
        <v>42736</v>
      </c>
    </row>
    <row r="16" spans="1:19" x14ac:dyDescent="0.35">
      <c r="B16" s="197">
        <v>3</v>
      </c>
      <c r="C16" s="135">
        <v>2</v>
      </c>
      <c r="D16" s="135">
        <f>LOOKUP(F16,'IB-IM et VP'!A:A,'IB-IM et VP'!C:C)</f>
        <v>355</v>
      </c>
      <c r="E16" s="176">
        <f>D16*'IB-IM et VP'!P3</f>
        <v>1653.6166249999997</v>
      </c>
      <c r="F16" s="135">
        <v>388</v>
      </c>
      <c r="G16" s="122"/>
      <c r="H16" s="227" t="s">
        <v>56</v>
      </c>
      <c r="I16" s="78">
        <f t="shared" si="0"/>
        <v>10</v>
      </c>
      <c r="J16" s="375"/>
      <c r="K16" s="135">
        <v>2</v>
      </c>
      <c r="L16" s="168">
        <f>LOOKUP(N16,'IB-IM et VP'!A:A,'IB-IM et VP'!C:C)</f>
        <v>365</v>
      </c>
      <c r="M16" s="176">
        <f>L16*'IB-IM et VP'!P3</f>
        <v>1700.1973749999997</v>
      </c>
      <c r="N16" s="168">
        <v>404</v>
      </c>
      <c r="O16" s="191"/>
      <c r="P16" s="209">
        <f>N1</f>
        <v>41671</v>
      </c>
    </row>
    <row r="17" spans="2:16" x14ac:dyDescent="0.35">
      <c r="B17" s="197">
        <v>4</v>
      </c>
      <c r="C17" s="135">
        <v>2</v>
      </c>
      <c r="D17" s="135">
        <f>LOOKUP(F17,'IB-IM et VP'!A:A,'IB-IM et VP'!C:C)</f>
        <v>370</v>
      </c>
      <c r="E17" s="176">
        <f>D17*'IB-IM et VP'!P3</f>
        <v>1723.4877499999998</v>
      </c>
      <c r="F17" s="135">
        <v>416</v>
      </c>
      <c r="G17" s="122"/>
      <c r="H17" s="227" t="s">
        <v>56</v>
      </c>
      <c r="I17" s="78">
        <f t="shared" si="0"/>
        <v>5</v>
      </c>
      <c r="J17" s="197">
        <v>4</v>
      </c>
      <c r="K17" s="135">
        <v>2</v>
      </c>
      <c r="L17" s="168">
        <f>LOOKUP(N17,'IB-IM et VP'!A:A,'IB-IM et VP'!C:C)</f>
        <v>375</v>
      </c>
      <c r="M17" s="176">
        <f>L17*'IB-IM et VP'!P3</f>
        <v>1746.7781249999998</v>
      </c>
      <c r="N17" s="168">
        <v>422</v>
      </c>
      <c r="P17" s="209">
        <f>N1</f>
        <v>41671</v>
      </c>
    </row>
    <row r="18" spans="2:16" x14ac:dyDescent="0.35">
      <c r="B18" s="200">
        <v>5</v>
      </c>
      <c r="C18" s="177">
        <v>3</v>
      </c>
      <c r="D18" s="177">
        <f>LOOKUP(F18,'IB-IM et VP'!A:A,'IB-IM et VP'!C:C)</f>
        <v>385</v>
      </c>
      <c r="E18" s="179">
        <f>D18*'IB-IM et VP'!P3</f>
        <v>1793.3588749999997</v>
      </c>
      <c r="F18" s="177">
        <v>437</v>
      </c>
      <c r="G18" s="164" t="s">
        <v>62</v>
      </c>
      <c r="H18" s="227" t="s">
        <v>64</v>
      </c>
      <c r="I18" s="78">
        <f t="shared" si="0"/>
        <v>6</v>
      </c>
      <c r="J18" s="197">
        <v>5</v>
      </c>
      <c r="K18" s="135">
        <v>2</v>
      </c>
      <c r="L18" s="168">
        <f>LOOKUP(N18,'IB-IM et VP'!A:A,'IB-IM et VP'!C:C)</f>
        <v>391</v>
      </c>
      <c r="M18" s="176">
        <f>L18*'IB-IM et VP'!P3</f>
        <v>1821.3073249999998</v>
      </c>
      <c r="N18" s="168">
        <v>445</v>
      </c>
      <c r="O18" s="191"/>
      <c r="P18" s="208">
        <f>AC37</f>
        <v>41316</v>
      </c>
    </row>
    <row r="19" spans="2:16" x14ac:dyDescent="0.35">
      <c r="B19" s="201"/>
      <c r="C19" s="178"/>
      <c r="D19" s="178"/>
      <c r="E19" s="180"/>
      <c r="F19" s="178"/>
      <c r="G19" s="164" t="s">
        <v>63</v>
      </c>
      <c r="H19" s="227" t="s">
        <v>68</v>
      </c>
      <c r="I19" s="78">
        <f>L19-D18</f>
        <v>15</v>
      </c>
      <c r="J19" s="197">
        <v>6</v>
      </c>
      <c r="K19" s="135">
        <v>2</v>
      </c>
      <c r="L19" s="168">
        <f>LOOKUP(N19,'IB-IM et VP'!A:A,'IB-IM et VP'!C:C)</f>
        <v>400</v>
      </c>
      <c r="M19" s="176">
        <f>L19*'IB-IM et VP'!P3</f>
        <v>1863.2299999999998</v>
      </c>
      <c r="N19" s="168">
        <v>457</v>
      </c>
      <c r="O19" s="191"/>
      <c r="P19" s="208">
        <f>W61</f>
        <v>42046.666666666664</v>
      </c>
    </row>
    <row r="20" spans="2:16" x14ac:dyDescent="0.35">
      <c r="B20" s="197">
        <v>6</v>
      </c>
      <c r="C20" s="135">
        <v>3</v>
      </c>
      <c r="D20" s="135">
        <f>LOOKUP(F20,'IB-IM et VP'!A:A,'IB-IM et VP'!C:C)</f>
        <v>400</v>
      </c>
      <c r="E20" s="176">
        <f>D20*'IB-IM et VP'!P3</f>
        <v>1863.2299999999998</v>
      </c>
      <c r="F20" s="135">
        <v>457</v>
      </c>
      <c r="G20" s="122"/>
      <c r="H20" s="227" t="s">
        <v>56</v>
      </c>
      <c r="I20" s="78">
        <f t="shared" si="0"/>
        <v>13</v>
      </c>
      <c r="J20" s="197">
        <v>7</v>
      </c>
      <c r="K20" s="135">
        <v>3</v>
      </c>
      <c r="L20" s="168">
        <f>LOOKUP(N20,'IB-IM et VP'!A:A,'IB-IM et VP'!C:C)</f>
        <v>413</v>
      </c>
      <c r="M20" s="176">
        <f>L20*'IB-IM et VP'!P3</f>
        <v>1923.7849749999998</v>
      </c>
      <c r="N20" s="168">
        <v>475</v>
      </c>
      <c r="P20" s="207">
        <f>N1</f>
        <v>41671</v>
      </c>
    </row>
    <row r="21" spans="2:16" x14ac:dyDescent="0.35">
      <c r="B21" s="197">
        <v>7</v>
      </c>
      <c r="C21" s="135">
        <v>4</v>
      </c>
      <c r="D21" s="135">
        <f>LOOKUP(F21,'IB-IM et VP'!A:A,'IB-IM et VP'!C:C)</f>
        <v>422</v>
      </c>
      <c r="E21" s="176">
        <f>D21*'IB-IM et VP'!P3</f>
        <v>1965.7076499999996</v>
      </c>
      <c r="F21" s="135">
        <v>488</v>
      </c>
      <c r="G21" s="122"/>
      <c r="H21" s="227" t="s">
        <v>59</v>
      </c>
      <c r="I21" s="78">
        <f t="shared" si="0"/>
        <v>8</v>
      </c>
      <c r="J21" s="197">
        <v>8</v>
      </c>
      <c r="K21" s="135">
        <v>3</v>
      </c>
      <c r="L21" s="168">
        <f>LOOKUP(N21,'IB-IM et VP'!A:A,'IB-IM et VP'!C:C)</f>
        <v>430</v>
      </c>
      <c r="M21" s="176">
        <f>L21*'IB-IM et VP'!P3</f>
        <v>2002.9722499999998</v>
      </c>
      <c r="N21" s="168">
        <v>499</v>
      </c>
      <c r="O21" s="191"/>
      <c r="P21" s="208">
        <f>Q37</f>
        <v>41937.25</v>
      </c>
    </row>
    <row r="22" spans="2:16" x14ac:dyDescent="0.35">
      <c r="B22" s="197">
        <v>8</v>
      </c>
      <c r="C22" s="135">
        <v>4</v>
      </c>
      <c r="D22" s="135">
        <f>LOOKUP(F22,'IB-IM et VP'!A:A,'IB-IM et VP'!C:C)</f>
        <v>436</v>
      </c>
      <c r="E22" s="176">
        <f>D22*'IB-IM et VP'!P3</f>
        <v>2030.9206999999997</v>
      </c>
      <c r="F22" s="135">
        <v>506</v>
      </c>
      <c r="G22" s="122"/>
      <c r="H22" s="227" t="s">
        <v>59</v>
      </c>
      <c r="I22" s="78">
        <f t="shared" si="0"/>
        <v>9</v>
      </c>
      <c r="J22" s="197">
        <v>9</v>
      </c>
      <c r="K22" s="135">
        <v>3</v>
      </c>
      <c r="L22" s="168">
        <f>LOOKUP(N22,'IB-IM et VP'!A:A,'IB-IM et VP'!C:C)</f>
        <v>445</v>
      </c>
      <c r="M22" s="176">
        <f>L22*'IB-IM et VP'!P3</f>
        <v>2072.8433749999995</v>
      </c>
      <c r="N22" s="168">
        <v>518</v>
      </c>
      <c r="P22" s="207">
        <f>Q37</f>
        <v>41937.25</v>
      </c>
    </row>
    <row r="23" spans="2:16" x14ac:dyDescent="0.35">
      <c r="B23" s="197">
        <v>9</v>
      </c>
      <c r="C23" s="135"/>
      <c r="D23" s="135">
        <f>LOOKUP(F23,'IB-IM et VP'!A:A,'IB-IM et VP'!C:C)</f>
        <v>462</v>
      </c>
      <c r="E23" s="176">
        <f>D23*'IB-IM et VP'!P3</f>
        <v>2152.0306499999997</v>
      </c>
      <c r="F23" s="135">
        <v>543</v>
      </c>
      <c r="G23" s="122"/>
      <c r="H23" s="227" t="s">
        <v>56</v>
      </c>
      <c r="I23" s="78">
        <f t="shared" si="0"/>
        <v>4</v>
      </c>
      <c r="J23" s="197">
        <v>10</v>
      </c>
      <c r="K23" s="135"/>
      <c r="L23" s="168">
        <f>LOOKUP(N23,'IB-IM et VP'!A:A,'IB-IM et VP'!C:C)</f>
        <v>466</v>
      </c>
      <c r="M23" s="176">
        <f>L23*'IB-IM et VP'!P3</f>
        <v>2170.6629499999995</v>
      </c>
      <c r="N23" s="168">
        <v>548</v>
      </c>
      <c r="O23" s="191"/>
      <c r="P23" s="208">
        <f>N1</f>
        <v>41671</v>
      </c>
    </row>
    <row r="24" spans="2:16" x14ac:dyDescent="0.25">
      <c r="J24" s="165"/>
      <c r="K24" s="165"/>
      <c r="L24" s="165"/>
      <c r="M24" s="165"/>
      <c r="N24" s="165"/>
    </row>
    <row r="25" spans="2:16" x14ac:dyDescent="0.25">
      <c r="J25" s="165"/>
      <c r="K25" s="165"/>
      <c r="L25" s="165"/>
      <c r="M25" s="165"/>
      <c r="N25" s="165"/>
    </row>
    <row r="26" spans="2:16" x14ac:dyDescent="0.25">
      <c r="J26" s="165"/>
      <c r="K26" s="165"/>
      <c r="L26" s="165"/>
      <c r="M26" s="165"/>
      <c r="N26" s="165"/>
    </row>
    <row r="27" spans="2:16" x14ac:dyDescent="0.25">
      <c r="J27" s="165"/>
      <c r="K27" s="165"/>
      <c r="L27" s="165"/>
      <c r="M27" s="165"/>
      <c r="N27" s="165"/>
    </row>
    <row r="33" spans="1:35" ht="15.75" hidden="1" customHeight="1" thickBot="1" x14ac:dyDescent="0.3">
      <c r="D33"/>
      <c r="I33"/>
      <c r="J33"/>
      <c r="K33"/>
      <c r="L33"/>
      <c r="M33"/>
      <c r="N33"/>
      <c r="AE33" s="101"/>
    </row>
    <row r="34" spans="1:35" s="40" customFormat="1" ht="15" hidden="1" customHeight="1" thickBot="1" x14ac:dyDescent="0.3">
      <c r="A34" s="377">
        <v>42736</v>
      </c>
      <c r="B34" s="378"/>
      <c r="C34" s="379"/>
      <c r="D34" s="380"/>
      <c r="E34" s="42"/>
      <c r="F34" s="43"/>
      <c r="G34" s="43"/>
      <c r="H34" s="381" t="s">
        <v>75</v>
      </c>
      <c r="I34" s="382"/>
      <c r="J34" s="382"/>
      <c r="K34" s="383"/>
      <c r="L34" s="44"/>
      <c r="M34" s="45"/>
      <c r="N34" s="384" t="s">
        <v>76</v>
      </c>
      <c r="O34" s="385"/>
      <c r="P34" s="385"/>
      <c r="Q34" s="386"/>
      <c r="R34" s="44"/>
      <c r="S34" s="45"/>
      <c r="T34" s="384" t="s">
        <v>77</v>
      </c>
      <c r="U34" s="385"/>
      <c r="V34" s="385"/>
      <c r="W34" s="386"/>
      <c r="X34" s="46"/>
      <c r="Y34" s="45"/>
      <c r="Z34" s="384" t="s">
        <v>78</v>
      </c>
      <c r="AA34" s="385"/>
      <c r="AB34" s="385"/>
      <c r="AC34" s="386"/>
      <c r="AE34" s="102"/>
      <c r="AF34" s="384" t="s">
        <v>138</v>
      </c>
      <c r="AG34" s="385"/>
      <c r="AH34" s="385"/>
      <c r="AI34" s="386"/>
    </row>
    <row r="35" spans="1:35" ht="45.75" hidden="1" customHeight="1" thickBot="1" x14ac:dyDescent="0.3">
      <c r="A35" s="268"/>
      <c r="B35" s="47"/>
      <c r="C35" s="48" t="s">
        <v>79</v>
      </c>
      <c r="D35" s="49" t="s">
        <v>80</v>
      </c>
      <c r="E35" s="49"/>
      <c r="F35" s="49"/>
      <c r="G35" s="49"/>
      <c r="H35" s="50" t="s">
        <v>81</v>
      </c>
      <c r="I35" s="51" t="s">
        <v>82</v>
      </c>
      <c r="J35" s="51" t="s">
        <v>83</v>
      </c>
      <c r="K35" s="52" t="s">
        <v>84</v>
      </c>
      <c r="L35" s="53"/>
      <c r="M35" s="54"/>
      <c r="N35" s="50" t="s">
        <v>81</v>
      </c>
      <c r="O35" s="51" t="s">
        <v>82</v>
      </c>
      <c r="P35" s="51" t="s">
        <v>83</v>
      </c>
      <c r="Q35" s="55" t="s">
        <v>84</v>
      </c>
      <c r="R35" s="53"/>
      <c r="S35" s="54"/>
      <c r="T35" s="50" t="s">
        <v>81</v>
      </c>
      <c r="U35" s="51" t="s">
        <v>82</v>
      </c>
      <c r="V35" s="51" t="s">
        <v>83</v>
      </c>
      <c r="W35" s="55" t="s">
        <v>84</v>
      </c>
      <c r="X35" s="56"/>
      <c r="Y35" s="57"/>
      <c r="Z35" s="50" t="s">
        <v>81</v>
      </c>
      <c r="AA35" s="51" t="s">
        <v>82</v>
      </c>
      <c r="AB35" s="51" t="s">
        <v>83</v>
      </c>
      <c r="AC35" s="55" t="s">
        <v>84</v>
      </c>
      <c r="AE35" s="103"/>
      <c r="AF35" s="50" t="s">
        <v>81</v>
      </c>
      <c r="AG35" s="51" t="s">
        <v>82</v>
      </c>
      <c r="AH35" s="51" t="s">
        <v>83</v>
      </c>
      <c r="AI35" s="55" t="s">
        <v>84</v>
      </c>
    </row>
    <row r="36" spans="1:35" ht="16.5" hidden="1" customHeight="1" thickTop="1" thickBot="1" x14ac:dyDescent="0.3">
      <c r="D36"/>
      <c r="H36" s="12"/>
      <c r="I36" s="12"/>
      <c r="J36" s="12"/>
      <c r="K36" s="12"/>
      <c r="L36"/>
      <c r="M36"/>
      <c r="N36" s="12"/>
      <c r="O36" s="12"/>
      <c r="P36" s="12"/>
      <c r="Q36" s="12"/>
      <c r="T36" s="12"/>
      <c r="U36" s="12"/>
      <c r="V36" s="12"/>
      <c r="W36" s="12"/>
      <c r="Z36" s="12"/>
      <c r="AA36" s="12"/>
      <c r="AB36" s="12"/>
      <c r="AC36" s="12"/>
      <c r="AE36" s="101"/>
      <c r="AF36" s="12"/>
      <c r="AG36" s="12"/>
      <c r="AH36" s="12"/>
      <c r="AI36" s="12"/>
    </row>
    <row r="37" spans="1:35" ht="16.5" hidden="1" customHeight="1" thickTop="1" thickBot="1" x14ac:dyDescent="0.3">
      <c r="B37" s="41">
        <f>A34</f>
        <v>42736</v>
      </c>
      <c r="C37" s="58">
        <f>N1</f>
        <v>41671</v>
      </c>
      <c r="D37" s="59">
        <f>E37/30.5</f>
        <v>34.918032786885249</v>
      </c>
      <c r="E37" s="60">
        <f>B37-C37</f>
        <v>1065</v>
      </c>
      <c r="F37" s="61"/>
      <c r="G37" s="61">
        <f>E37*1/2</f>
        <v>532.5</v>
      </c>
      <c r="H37" s="62">
        <f>INT(D37*1/2/12)</f>
        <v>1</v>
      </c>
      <c r="I37" s="63">
        <f>INT(D37*1/2-(H37*12))</f>
        <v>5</v>
      </c>
      <c r="J37" s="64">
        <f>ROUND((D37*1/2-(H37*12)-I37)*30,0)</f>
        <v>14</v>
      </c>
      <c r="K37" s="86">
        <f>B37-G37</f>
        <v>42203.5</v>
      </c>
      <c r="L37" s="65"/>
      <c r="M37" s="66">
        <f>E37*3/4</f>
        <v>798.75</v>
      </c>
      <c r="N37" s="62">
        <f>INT(D37*3/4/12)</f>
        <v>2</v>
      </c>
      <c r="O37" s="63">
        <f>INT(D37*3/4-(N37*12))</f>
        <v>2</v>
      </c>
      <c r="P37" s="64">
        <f>ROUND((D37*3/4-(N37*12)-O37)*30,0)</f>
        <v>6</v>
      </c>
      <c r="Q37" s="87">
        <f>B37-M37</f>
        <v>41937.25</v>
      </c>
      <c r="R37" s="65"/>
      <c r="S37" s="61">
        <f>E37*2/3</f>
        <v>710</v>
      </c>
      <c r="T37" s="62">
        <f>INT(D37*2/3/12)</f>
        <v>1</v>
      </c>
      <c r="U37" s="63">
        <f>INT(D37*2/3-(T37*12))</f>
        <v>11</v>
      </c>
      <c r="V37" s="64">
        <f>ROUND((D37*2/3-(T37*12)-U37)*30,0)</f>
        <v>8</v>
      </c>
      <c r="W37" s="87">
        <f>B37-S37</f>
        <v>42026</v>
      </c>
      <c r="X37" s="67"/>
      <c r="Y37" s="66">
        <f>E37*4/3</f>
        <v>1420</v>
      </c>
      <c r="Z37" s="62">
        <f>INT(D37*4/3/12)</f>
        <v>3</v>
      </c>
      <c r="AA37" s="63">
        <f>INT(D37*4/3-(Z37*12))</f>
        <v>10</v>
      </c>
      <c r="AB37" s="64">
        <f>ROUND((D37*4/3-(Z37*12)-AA37)*30,0)</f>
        <v>17</v>
      </c>
      <c r="AC37" s="87">
        <f>B37-Y37</f>
        <v>41316</v>
      </c>
      <c r="AE37" s="100">
        <f>E37*2</f>
        <v>2130</v>
      </c>
      <c r="AF37" s="62">
        <f>INT(J37*4/3/12)</f>
        <v>1</v>
      </c>
      <c r="AG37" s="63">
        <f>INT(J37*4/3-(AF37*12))</f>
        <v>6</v>
      </c>
      <c r="AH37" s="64">
        <f>ROUND((J37*4/3-(AF37*12)-AG37)*30,0)</f>
        <v>20</v>
      </c>
      <c r="AI37" s="87">
        <f>C37-AE37</f>
        <v>39541</v>
      </c>
    </row>
    <row r="38" spans="1:35" ht="15" hidden="1" customHeight="1" x14ac:dyDescent="0.25">
      <c r="B38" s="41"/>
      <c r="C38" s="75"/>
      <c r="D38" s="76"/>
      <c r="E38" s="60"/>
      <c r="F38" s="61"/>
      <c r="G38" s="61"/>
      <c r="H38" s="70"/>
      <c r="I38" s="70"/>
      <c r="J38" s="73"/>
      <c r="K38" s="77"/>
      <c r="L38" s="61"/>
      <c r="M38" s="66"/>
      <c r="N38" s="70"/>
      <c r="O38" s="70"/>
      <c r="P38" s="73"/>
      <c r="Q38" s="67"/>
      <c r="R38" s="61"/>
      <c r="S38" s="61"/>
      <c r="T38" s="70"/>
      <c r="U38" s="70"/>
      <c r="V38" s="73"/>
      <c r="W38" s="67"/>
      <c r="X38" s="67"/>
      <c r="Y38" s="66"/>
      <c r="Z38" s="70"/>
      <c r="AA38" s="70"/>
      <c r="AB38" s="73"/>
      <c r="AC38" s="67"/>
      <c r="AE38" s="101"/>
    </row>
    <row r="39" spans="1:35" ht="15.75" hidden="1" customHeight="1" thickBot="1" x14ac:dyDescent="0.3">
      <c r="D39"/>
      <c r="F39" s="12"/>
      <c r="I39"/>
      <c r="J39"/>
      <c r="K39"/>
      <c r="L39"/>
      <c r="M39"/>
      <c r="N39"/>
      <c r="AE39" s="101"/>
    </row>
    <row r="40" spans="1:35" ht="12.75" hidden="1" customHeight="1" x14ac:dyDescent="0.25">
      <c r="D40"/>
      <c r="F40" s="12"/>
      <c r="H40" s="381" t="s">
        <v>85</v>
      </c>
      <c r="I40" s="382"/>
      <c r="J40" s="382"/>
      <c r="K40" s="383"/>
      <c r="L40"/>
      <c r="M40"/>
      <c r="N40" s="384" t="s">
        <v>90</v>
      </c>
      <c r="O40" s="385"/>
      <c r="P40" s="385"/>
      <c r="Q40" s="386"/>
      <c r="T40" s="384" t="s">
        <v>91</v>
      </c>
      <c r="U40" s="385"/>
      <c r="V40" s="385"/>
      <c r="W40" s="386"/>
      <c r="Z40" s="384" t="s">
        <v>132</v>
      </c>
      <c r="AA40" s="385"/>
      <c r="AB40" s="385"/>
      <c r="AC40" s="386"/>
      <c r="AE40" s="101"/>
      <c r="AF40" s="384" t="s">
        <v>141</v>
      </c>
      <c r="AG40" s="385"/>
      <c r="AH40" s="385"/>
      <c r="AI40" s="386"/>
    </row>
    <row r="41" spans="1:35" ht="45.75" hidden="1" customHeight="1" thickBot="1" x14ac:dyDescent="0.3">
      <c r="D41"/>
      <c r="F41" s="12"/>
      <c r="H41" s="50" t="s">
        <v>81</v>
      </c>
      <c r="I41" s="51" t="s">
        <v>82</v>
      </c>
      <c r="J41" s="51" t="s">
        <v>83</v>
      </c>
      <c r="K41" s="55" t="s">
        <v>84</v>
      </c>
      <c r="L41"/>
      <c r="M41"/>
      <c r="N41" s="50" t="s">
        <v>81</v>
      </c>
      <c r="O41" s="51" t="s">
        <v>82</v>
      </c>
      <c r="P41" s="51" t="s">
        <v>83</v>
      </c>
      <c r="Q41" s="55" t="s">
        <v>84</v>
      </c>
      <c r="T41" s="50" t="s">
        <v>81</v>
      </c>
      <c r="U41" s="51" t="s">
        <v>82</v>
      </c>
      <c r="V41" s="51" t="s">
        <v>83</v>
      </c>
      <c r="W41" s="55" t="s">
        <v>84</v>
      </c>
      <c r="Z41" s="50" t="s">
        <v>81</v>
      </c>
      <c r="AA41" s="51" t="s">
        <v>82</v>
      </c>
      <c r="AB41" s="51" t="s">
        <v>83</v>
      </c>
      <c r="AC41" s="55" t="s">
        <v>84</v>
      </c>
      <c r="AE41" s="101"/>
      <c r="AF41" s="50" t="s">
        <v>81</v>
      </c>
      <c r="AG41" s="51" t="s">
        <v>82</v>
      </c>
      <c r="AH41" s="51" t="s">
        <v>83</v>
      </c>
      <c r="AI41" s="55" t="s">
        <v>84</v>
      </c>
    </row>
    <row r="42" spans="1:35" ht="6" hidden="1" customHeight="1" thickBot="1" x14ac:dyDescent="0.3">
      <c r="D42"/>
      <c r="F42" s="12"/>
      <c r="I42"/>
      <c r="J42"/>
      <c r="K42"/>
      <c r="L42"/>
      <c r="M42"/>
      <c r="N42"/>
      <c r="AE42" s="101"/>
    </row>
    <row r="43" spans="1:35" ht="16.5" hidden="1" customHeight="1" thickTop="1" thickBot="1" x14ac:dyDescent="0.3">
      <c r="B43" s="41">
        <f>A34</f>
        <v>42736</v>
      </c>
      <c r="C43" s="58">
        <f>N1</f>
        <v>41671</v>
      </c>
      <c r="D43" s="59">
        <f>E43/30.5</f>
        <v>34.918032786885249</v>
      </c>
      <c r="E43" s="60">
        <f>B43-C43</f>
        <v>1065</v>
      </c>
      <c r="F43" s="61"/>
      <c r="G43" s="61">
        <f>E43*3/2</f>
        <v>1597.5</v>
      </c>
      <c r="H43" s="62">
        <f>INT(D43*3/2/12)</f>
        <v>4</v>
      </c>
      <c r="I43" s="63">
        <f>INT(D43*3/2-(H43*12))</f>
        <v>4</v>
      </c>
      <c r="J43" s="64">
        <f>ROUND((D43*3/2-(H43*12)-I43)*30,0)</f>
        <v>11</v>
      </c>
      <c r="K43" s="86">
        <f>B43-G43</f>
        <v>41138.5</v>
      </c>
      <c r="L43" s="65"/>
      <c r="M43" s="66">
        <f>E43*5/4</f>
        <v>1331.25</v>
      </c>
      <c r="N43" s="62">
        <f>INT(D43*5/4/12)</f>
        <v>3</v>
      </c>
      <c r="O43" s="63">
        <f>INT(D43*5/4-(N43*12))</f>
        <v>7</v>
      </c>
      <c r="P43" s="64">
        <f>ROUND((D43*5/4-(N43*12)-O43)*30,0)</f>
        <v>19</v>
      </c>
      <c r="Q43" s="87">
        <f>B43-M43</f>
        <v>41404.75</v>
      </c>
      <c r="R43" s="65"/>
      <c r="S43" s="61">
        <f>E43*5/6</f>
        <v>887.5</v>
      </c>
      <c r="T43" s="62">
        <f>INT(D43*5/6/12)</f>
        <v>2</v>
      </c>
      <c r="U43" s="63">
        <f>INT(D43*5/6-(T43*12))</f>
        <v>5</v>
      </c>
      <c r="V43" s="64">
        <f>ROUND((D43*5/6-(T43*12)-U43)*30,0)</f>
        <v>3</v>
      </c>
      <c r="W43" s="87">
        <f>B43-S43</f>
        <v>41848.5</v>
      </c>
      <c r="X43" s="67"/>
      <c r="Y43" s="66">
        <f>E43*7/6</f>
        <v>1242.5</v>
      </c>
      <c r="Z43" s="62">
        <f>INT(D43*7/6/12)</f>
        <v>3</v>
      </c>
      <c r="AA43" s="63">
        <f>INT(D43*7/6-(Z43*12))</f>
        <v>4</v>
      </c>
      <c r="AB43" s="64">
        <f>ROUND((D43*7/6-(Z43*12)-AA43)*30,0)</f>
        <v>22</v>
      </c>
      <c r="AC43" s="87">
        <f>B43-Y43</f>
        <v>41493.5</v>
      </c>
      <c r="AE43" s="100">
        <f>E43*6/7</f>
        <v>912.85714285714289</v>
      </c>
      <c r="AF43" s="62">
        <f>INT(J43*7/6/12)</f>
        <v>1</v>
      </c>
      <c r="AG43" s="63">
        <f>INT(J43*7/6-(AF43*12))</f>
        <v>0</v>
      </c>
      <c r="AH43" s="64">
        <f>ROUND((J43*7/6-(AF43*12)-AG43)*30,0)</f>
        <v>25</v>
      </c>
      <c r="AI43" s="87">
        <f>B43-AE43</f>
        <v>41823.142857142855</v>
      </c>
    </row>
    <row r="44" spans="1:35" ht="15" hidden="1" customHeight="1" x14ac:dyDescent="0.25">
      <c r="D44"/>
      <c r="F44" s="12"/>
      <c r="I44"/>
      <c r="J44"/>
      <c r="K44"/>
      <c r="L44"/>
      <c r="M44"/>
      <c r="N44"/>
      <c r="AE44" s="101"/>
    </row>
    <row r="45" spans="1:35" ht="15.75" hidden="1" customHeight="1" thickBot="1" x14ac:dyDescent="0.3">
      <c r="D45"/>
      <c r="F45" s="12"/>
      <c r="I45"/>
      <c r="J45"/>
      <c r="K45"/>
      <c r="L45"/>
      <c r="M45"/>
      <c r="N45"/>
      <c r="AE45" s="101"/>
    </row>
    <row r="46" spans="1:35" ht="27.75" hidden="1" customHeight="1" x14ac:dyDescent="0.25">
      <c r="D46"/>
      <c r="F46" s="12"/>
      <c r="H46" s="384" t="s">
        <v>92</v>
      </c>
      <c r="I46" s="385"/>
      <c r="J46" s="385"/>
      <c r="K46" s="386"/>
      <c r="L46"/>
      <c r="M46"/>
      <c r="N46" s="384" t="s">
        <v>93</v>
      </c>
      <c r="O46" s="385"/>
      <c r="P46" s="385"/>
      <c r="Q46" s="386"/>
      <c r="T46" s="384" t="s">
        <v>142</v>
      </c>
      <c r="U46" s="385"/>
      <c r="V46" s="385"/>
      <c r="W46" s="386"/>
      <c r="AE46" s="101"/>
    </row>
    <row r="47" spans="1:35" ht="45.75" hidden="1" customHeight="1" thickBot="1" x14ac:dyDescent="0.3">
      <c r="D47"/>
      <c r="F47" s="12"/>
      <c r="H47" s="50" t="s">
        <v>81</v>
      </c>
      <c r="I47" s="51" t="s">
        <v>82</v>
      </c>
      <c r="J47" s="51" t="s">
        <v>83</v>
      </c>
      <c r="K47" s="55" t="s">
        <v>84</v>
      </c>
      <c r="L47"/>
      <c r="M47"/>
      <c r="N47" s="50" t="s">
        <v>81</v>
      </c>
      <c r="O47" s="51" t="s">
        <v>82</v>
      </c>
      <c r="P47" s="51" t="s">
        <v>83</v>
      </c>
      <c r="Q47" s="55" t="s">
        <v>84</v>
      </c>
      <c r="T47" s="50"/>
      <c r="U47" s="51"/>
      <c r="V47" s="51"/>
      <c r="W47" s="55"/>
      <c r="AE47" s="101"/>
    </row>
    <row r="48" spans="1:35" ht="6" hidden="1" customHeight="1" thickBot="1" x14ac:dyDescent="0.3">
      <c r="D48"/>
      <c r="F48" s="12"/>
      <c r="I48"/>
      <c r="J48"/>
      <c r="K48"/>
      <c r="L48"/>
      <c r="M48"/>
      <c r="N48"/>
      <c r="AE48" s="101"/>
    </row>
    <row r="49" spans="2:31" ht="16.5" hidden="1" customHeight="1" thickTop="1" thickBot="1" x14ac:dyDescent="0.3">
      <c r="B49" s="41">
        <f>A34</f>
        <v>42736</v>
      </c>
      <c r="C49" s="58">
        <f>N1+(6*30.5)-1</f>
        <v>41853</v>
      </c>
      <c r="D49" s="59">
        <f>E49/30.5</f>
        <v>28.950819672131146</v>
      </c>
      <c r="E49" s="60">
        <f>B49-C49</f>
        <v>883</v>
      </c>
      <c r="F49" s="61"/>
      <c r="G49" s="61">
        <f>E49*2/3</f>
        <v>588.66666666666663</v>
      </c>
      <c r="H49" s="62">
        <f>INT(D49*2/3/12)</f>
        <v>1</v>
      </c>
      <c r="I49" s="63">
        <f>INT(D49*2/3-(H49*12))</f>
        <v>7</v>
      </c>
      <c r="J49" s="64">
        <f>ROUND((D49*2/3-(H49*12)-I49)*30,0)</f>
        <v>9</v>
      </c>
      <c r="K49" s="86">
        <f>B49-G49</f>
        <v>42147.333333333336</v>
      </c>
      <c r="L49" s="65"/>
      <c r="M49" s="66">
        <f>E49*4/3</f>
        <v>1177.3333333333333</v>
      </c>
      <c r="N49" s="62">
        <f>INT(D49*4/3/12)</f>
        <v>3</v>
      </c>
      <c r="O49" s="63">
        <f>INT(D49*4/3-(N49*12))</f>
        <v>2</v>
      </c>
      <c r="P49" s="64">
        <f>ROUND((D49*4/3-(N49*12)-O49)*30,0)</f>
        <v>18</v>
      </c>
      <c r="Q49" s="87">
        <f>B49-M49</f>
        <v>41558.666666666664</v>
      </c>
      <c r="R49" s="61"/>
      <c r="S49" s="61">
        <f>E37*1/3</f>
        <v>355</v>
      </c>
      <c r="T49" s="62">
        <f>INT(D37*1/3/12)</f>
        <v>0</v>
      </c>
      <c r="U49" s="63">
        <f>INT(D37*1/3-(T49*12))</f>
        <v>11</v>
      </c>
      <c r="V49" s="64">
        <f>ROUND((D37*1/3-(T49*12)-U49)*30,0)</f>
        <v>19</v>
      </c>
      <c r="W49" s="87">
        <f>B37-S49</f>
        <v>42381</v>
      </c>
      <c r="X49" s="67"/>
      <c r="Y49" s="66"/>
      <c r="Z49" s="70"/>
      <c r="AA49" s="70"/>
      <c r="AB49" s="73"/>
      <c r="AC49" s="67"/>
      <c r="AE49" s="101"/>
    </row>
    <row r="50" spans="2:31" ht="15" hidden="1" customHeight="1" x14ac:dyDescent="0.25">
      <c r="D50"/>
      <c r="F50" s="12"/>
      <c r="I50"/>
      <c r="J50"/>
      <c r="K50"/>
      <c r="L50"/>
      <c r="M50"/>
      <c r="N50"/>
      <c r="AE50" s="101"/>
    </row>
    <row r="51" spans="2:31" ht="15.75" hidden="1" customHeight="1" thickBot="1" x14ac:dyDescent="0.3">
      <c r="D51"/>
      <c r="F51" s="12"/>
      <c r="I51"/>
      <c r="J51"/>
      <c r="K51"/>
      <c r="L51"/>
      <c r="M51"/>
      <c r="N51"/>
      <c r="AE51" s="101"/>
    </row>
    <row r="52" spans="2:31" ht="27.75" hidden="1" customHeight="1" x14ac:dyDescent="0.25">
      <c r="D52"/>
      <c r="F52" s="12"/>
      <c r="H52" s="384" t="s">
        <v>139</v>
      </c>
      <c r="I52" s="385"/>
      <c r="J52" s="385"/>
      <c r="K52" s="386"/>
      <c r="L52"/>
      <c r="M52"/>
      <c r="N52"/>
      <c r="AE52" s="101"/>
    </row>
    <row r="53" spans="2:31" ht="45.75" hidden="1" customHeight="1" thickBot="1" x14ac:dyDescent="0.3">
      <c r="D53"/>
      <c r="F53" s="12"/>
      <c r="H53" s="50" t="s">
        <v>81</v>
      </c>
      <c r="I53" s="51" t="s">
        <v>82</v>
      </c>
      <c r="J53" s="51" t="s">
        <v>83</v>
      </c>
      <c r="K53" s="55" t="s">
        <v>84</v>
      </c>
      <c r="L53"/>
      <c r="M53"/>
      <c r="N53"/>
      <c r="AE53" s="101"/>
    </row>
    <row r="54" spans="2:31" ht="15.75" hidden="1" customHeight="1" thickBot="1" x14ac:dyDescent="0.3">
      <c r="D54"/>
      <c r="F54" s="12"/>
      <c r="I54"/>
      <c r="J54"/>
      <c r="K54"/>
      <c r="L54"/>
      <c r="M54"/>
      <c r="N54"/>
      <c r="AE54" s="101"/>
    </row>
    <row r="55" spans="2:31" ht="16.5" hidden="1" customHeight="1" thickTop="1" thickBot="1" x14ac:dyDescent="0.3">
      <c r="B55" s="41">
        <f>A34</f>
        <v>42736</v>
      </c>
      <c r="C55" s="58">
        <f>N1+(12*30.5)-1</f>
        <v>42036</v>
      </c>
      <c r="D55" s="59">
        <f>E55/30.5</f>
        <v>22.950819672131146</v>
      </c>
      <c r="E55" s="60">
        <f>B55-C55</f>
        <v>700</v>
      </c>
      <c r="F55" s="12"/>
      <c r="G55" s="68">
        <f>E55</f>
        <v>700</v>
      </c>
      <c r="H55" s="62">
        <f>INT(D55*2/3/12)</f>
        <v>1</v>
      </c>
      <c r="I55" s="63">
        <f>INT(D55*2/3-(H55*12))</f>
        <v>3</v>
      </c>
      <c r="J55" s="64">
        <f>ROUND((D55*2/3-(H55*12)-I55)*30,0)</f>
        <v>9</v>
      </c>
      <c r="K55" s="86">
        <f>B55-G55</f>
        <v>42036</v>
      </c>
      <c r="L55"/>
      <c r="M55"/>
      <c r="N55"/>
      <c r="AE55" s="101"/>
    </row>
    <row r="56" spans="2:31" ht="15" hidden="1" customHeight="1" x14ac:dyDescent="0.25">
      <c r="D56"/>
      <c r="F56" s="12"/>
      <c r="I56"/>
      <c r="J56"/>
      <c r="K56"/>
      <c r="L56"/>
      <c r="M56"/>
      <c r="N56"/>
      <c r="AE56" s="101"/>
    </row>
    <row r="57" spans="2:31" ht="15.75" hidden="1" customHeight="1" thickBot="1" x14ac:dyDescent="0.3">
      <c r="D57"/>
      <c r="F57" s="12"/>
      <c r="I57"/>
      <c r="J57"/>
      <c r="K57"/>
      <c r="L57"/>
      <c r="M57"/>
      <c r="N57"/>
      <c r="AE57" s="101"/>
    </row>
    <row r="58" spans="2:31" ht="27.75" hidden="1" customHeight="1" x14ac:dyDescent="0.25">
      <c r="D58"/>
      <c r="F58" s="12"/>
      <c r="H58" s="384" t="s">
        <v>94</v>
      </c>
      <c r="I58" s="385"/>
      <c r="J58" s="385"/>
      <c r="K58" s="386"/>
      <c r="L58"/>
      <c r="M58"/>
      <c r="N58" s="384" t="s">
        <v>95</v>
      </c>
      <c r="O58" s="385"/>
      <c r="P58" s="385"/>
      <c r="Q58" s="386"/>
      <c r="T58" s="384" t="s">
        <v>172</v>
      </c>
      <c r="U58" s="385"/>
      <c r="V58" s="385"/>
      <c r="W58" s="386"/>
      <c r="AE58" s="101"/>
    </row>
    <row r="59" spans="2:31" ht="45.75" hidden="1" customHeight="1" thickBot="1" x14ac:dyDescent="0.3">
      <c r="D59"/>
      <c r="F59" s="12"/>
      <c r="H59" s="50" t="s">
        <v>81</v>
      </c>
      <c r="I59" s="51" t="s">
        <v>82</v>
      </c>
      <c r="J59" s="51" t="s">
        <v>83</v>
      </c>
      <c r="K59" s="55" t="s">
        <v>84</v>
      </c>
      <c r="L59"/>
      <c r="M59"/>
      <c r="N59" s="50" t="s">
        <v>81</v>
      </c>
      <c r="O59" s="51" t="s">
        <v>82</v>
      </c>
      <c r="P59" s="51" t="s">
        <v>83</v>
      </c>
      <c r="Q59" s="55" t="s">
        <v>84</v>
      </c>
      <c r="T59" s="50" t="s">
        <v>81</v>
      </c>
      <c r="U59" s="51" t="s">
        <v>82</v>
      </c>
      <c r="V59" s="51" t="s">
        <v>83</v>
      </c>
      <c r="W59" s="55" t="s">
        <v>84</v>
      </c>
      <c r="AE59" s="101"/>
    </row>
    <row r="60" spans="2:31" ht="6" hidden="1" customHeight="1" thickBot="1" x14ac:dyDescent="0.3">
      <c r="D60"/>
      <c r="F60" s="12"/>
      <c r="I60"/>
      <c r="J60"/>
      <c r="K60"/>
      <c r="L60"/>
      <c r="M60"/>
      <c r="N60"/>
      <c r="AE60" s="101"/>
    </row>
    <row r="61" spans="2:31" ht="16.5" hidden="1" customHeight="1" thickTop="1" thickBot="1" x14ac:dyDescent="0.3">
      <c r="B61" s="41">
        <f>A34</f>
        <v>42736</v>
      </c>
      <c r="C61" s="58">
        <f>N1+(18*30.5)-1</f>
        <v>42219</v>
      </c>
      <c r="D61" s="59">
        <f>E61/30.5</f>
        <v>16.950819672131146</v>
      </c>
      <c r="E61" s="60">
        <f>B61-C61</f>
        <v>517</v>
      </c>
      <c r="F61" s="61"/>
      <c r="G61" s="61">
        <f>E61*5/3</f>
        <v>861.66666666666663</v>
      </c>
      <c r="H61" s="62">
        <f>INT(D61*5/3/12)</f>
        <v>2</v>
      </c>
      <c r="I61" s="63">
        <f>INT(D61*5/3-(H61*12))</f>
        <v>4</v>
      </c>
      <c r="J61" s="64">
        <f>ROUND((D61*5/3-(H61*12)-I61)*30,0)</f>
        <v>8</v>
      </c>
      <c r="K61" s="86">
        <f>B61-G61</f>
        <v>41874.333333333336</v>
      </c>
      <c r="L61" s="65"/>
      <c r="M61" s="66">
        <f>E61*8/3</f>
        <v>1378.6666666666667</v>
      </c>
      <c r="N61" s="62">
        <f>INT(D61*8/3/12)</f>
        <v>3</v>
      </c>
      <c r="O61" s="63">
        <f>INT(D61*8/3-(N61*12))</f>
        <v>9</v>
      </c>
      <c r="P61" s="64">
        <f>ROUND((D61*8/3-(N61*12)-O61)*30,0)</f>
        <v>6</v>
      </c>
      <c r="Q61" s="87">
        <f>B61-M61</f>
        <v>41357.333333333336</v>
      </c>
      <c r="R61" s="61"/>
      <c r="S61" s="66">
        <f>E61*4/3</f>
        <v>689.33333333333337</v>
      </c>
      <c r="T61" s="62">
        <f>INT(J61*8/3/12)</f>
        <v>1</v>
      </c>
      <c r="U61" s="63">
        <f>INT(J61*8/3-(T61*12))</f>
        <v>9</v>
      </c>
      <c r="V61" s="64">
        <f>ROUND((J61*8/3-(T61*12)-U61)*30,0)</f>
        <v>10</v>
      </c>
      <c r="W61" s="87">
        <f>B61-S61</f>
        <v>42046.666666666664</v>
      </c>
      <c r="X61" s="67"/>
      <c r="Y61" s="66"/>
      <c r="Z61" s="70"/>
      <c r="AA61" s="70"/>
      <c r="AB61" s="73"/>
      <c r="AC61" s="67"/>
      <c r="AE61" s="101"/>
    </row>
    <row r="62" spans="2:31" ht="15" hidden="1" customHeight="1" x14ac:dyDescent="0.25">
      <c r="D62"/>
      <c r="F62" s="12"/>
      <c r="I62"/>
      <c r="J62"/>
      <c r="K62"/>
      <c r="L62"/>
      <c r="M62"/>
      <c r="N62"/>
      <c r="AE62" s="101"/>
    </row>
    <row r="63" spans="2:31" ht="15.75" hidden="1" customHeight="1" thickBot="1" x14ac:dyDescent="0.3">
      <c r="D63"/>
      <c r="F63" s="12"/>
      <c r="I63"/>
      <c r="J63"/>
      <c r="K63"/>
      <c r="L63"/>
      <c r="M63"/>
      <c r="N63"/>
      <c r="AE63" s="101"/>
    </row>
    <row r="64" spans="2:31" ht="27.75" hidden="1" customHeight="1" x14ac:dyDescent="0.25">
      <c r="D64"/>
      <c r="F64" s="12"/>
      <c r="H64" s="384" t="s">
        <v>96</v>
      </c>
      <c r="I64" s="385"/>
      <c r="J64" s="385"/>
      <c r="K64" s="386"/>
      <c r="L64"/>
      <c r="M64"/>
      <c r="N64" s="384" t="s">
        <v>140</v>
      </c>
      <c r="O64" s="385"/>
      <c r="P64" s="385"/>
      <c r="Q64" s="386"/>
      <c r="AE64" s="101"/>
    </row>
    <row r="65" spans="2:31" ht="45.75" hidden="1" customHeight="1" thickBot="1" x14ac:dyDescent="0.3">
      <c r="D65"/>
      <c r="F65" s="12"/>
      <c r="H65" s="50" t="s">
        <v>81</v>
      </c>
      <c r="I65" s="51" t="s">
        <v>82</v>
      </c>
      <c r="J65" s="51" t="s">
        <v>83</v>
      </c>
      <c r="K65" s="55" t="s">
        <v>84</v>
      </c>
      <c r="L65"/>
      <c r="M65"/>
      <c r="N65" s="50" t="s">
        <v>81</v>
      </c>
      <c r="O65" s="51" t="s">
        <v>82</v>
      </c>
      <c r="P65" s="51" t="s">
        <v>83</v>
      </c>
      <c r="Q65" s="55" t="s">
        <v>84</v>
      </c>
      <c r="AE65" s="101"/>
    </row>
    <row r="66" spans="2:31" ht="6" hidden="1" customHeight="1" thickBot="1" x14ac:dyDescent="0.3">
      <c r="D66"/>
      <c r="F66" s="12"/>
      <c r="I66"/>
      <c r="J66"/>
      <c r="K66"/>
      <c r="L66"/>
      <c r="M66"/>
      <c r="N66"/>
      <c r="AE66" s="101"/>
    </row>
    <row r="67" spans="2:31" ht="16.5" hidden="1" customHeight="1" thickTop="1" thickBot="1" x14ac:dyDescent="0.3">
      <c r="B67" s="41">
        <f>A34</f>
        <v>42736</v>
      </c>
      <c r="C67" s="58">
        <f>N1+(24*30.5)-1</f>
        <v>42402</v>
      </c>
      <c r="D67" s="59">
        <f>E67/30.5</f>
        <v>10.950819672131148</v>
      </c>
      <c r="E67" s="60">
        <f>B67-C67</f>
        <v>334</v>
      </c>
      <c r="F67" s="61"/>
      <c r="G67" s="61">
        <f>E67*5/4</f>
        <v>417.5</v>
      </c>
      <c r="H67" s="62">
        <f>INT(D67*5/4/12)</f>
        <v>1</v>
      </c>
      <c r="I67" s="63">
        <f>INT(D67*5/4-(H67*12))</f>
        <v>1</v>
      </c>
      <c r="J67" s="64">
        <f>ROUND((D67*5/4-(H67*12)-I67)*30,0)</f>
        <v>21</v>
      </c>
      <c r="K67" s="86">
        <f>B67-G67</f>
        <v>42318.5</v>
      </c>
      <c r="L67" s="61"/>
      <c r="M67" s="68">
        <f>E67</f>
        <v>334</v>
      </c>
      <c r="N67" s="62">
        <f>INT(J67/12)</f>
        <v>1</v>
      </c>
      <c r="O67" s="63">
        <f>INT(J67-(N67*12))</f>
        <v>9</v>
      </c>
      <c r="P67" s="64">
        <f>ROUND((J67-(N67*12)-O67)*30,0)</f>
        <v>0</v>
      </c>
      <c r="Q67" s="86">
        <f>B67-M67</f>
        <v>42402</v>
      </c>
      <c r="R67" s="61"/>
      <c r="S67" s="61"/>
      <c r="T67" s="70"/>
      <c r="U67" s="70"/>
      <c r="V67" s="73"/>
      <c r="W67" s="67"/>
      <c r="X67" s="67"/>
      <c r="Y67" s="66"/>
      <c r="Z67" s="70"/>
      <c r="AA67" s="70"/>
      <c r="AB67" s="73"/>
      <c r="AC67" s="67"/>
      <c r="AE67" s="101"/>
    </row>
    <row r="68" spans="2:31" ht="15" hidden="1" customHeight="1" x14ac:dyDescent="0.25">
      <c r="D68"/>
      <c r="F68" s="12"/>
      <c r="I68"/>
      <c r="J68"/>
      <c r="K68"/>
      <c r="L68"/>
      <c r="M68"/>
      <c r="N68"/>
      <c r="AE68" s="101"/>
    </row>
    <row r="69" spans="2:31" ht="15.75" hidden="1" customHeight="1" thickBot="1" x14ac:dyDescent="0.3">
      <c r="D69"/>
      <c r="I69"/>
      <c r="J69"/>
      <c r="K69"/>
      <c r="L69"/>
      <c r="M69"/>
      <c r="N69"/>
      <c r="AE69" s="101"/>
    </row>
    <row r="70" spans="2:31" ht="27.75" hidden="1" customHeight="1" x14ac:dyDescent="0.25">
      <c r="D70"/>
      <c r="F70" s="12"/>
      <c r="H70" s="384" t="s">
        <v>164</v>
      </c>
      <c r="I70" s="385"/>
      <c r="J70" s="385"/>
      <c r="K70" s="386"/>
      <c r="L70"/>
      <c r="M70"/>
      <c r="N70"/>
      <c r="AE70" s="101"/>
    </row>
    <row r="71" spans="2:31" ht="45.75" hidden="1" customHeight="1" thickBot="1" x14ac:dyDescent="0.3">
      <c r="D71"/>
      <c r="F71" s="12"/>
      <c r="H71" s="50" t="s">
        <v>81</v>
      </c>
      <c r="I71" s="51" t="s">
        <v>82</v>
      </c>
      <c r="J71" s="51" t="s">
        <v>83</v>
      </c>
      <c r="K71" s="55" t="s">
        <v>84</v>
      </c>
      <c r="L71"/>
      <c r="M71"/>
      <c r="N71"/>
      <c r="AE71" s="101"/>
    </row>
    <row r="72" spans="2:31" ht="15.75" hidden="1" customHeight="1" thickBot="1" x14ac:dyDescent="0.3">
      <c r="D72"/>
      <c r="F72" s="12"/>
      <c r="I72"/>
      <c r="J72"/>
      <c r="K72"/>
      <c r="L72"/>
      <c r="M72"/>
      <c r="N72"/>
      <c r="AE72" s="101"/>
    </row>
    <row r="73" spans="2:31" ht="16.5" hidden="1" customHeight="1" thickTop="1" thickBot="1" x14ac:dyDescent="0.3">
      <c r="B73" s="41">
        <f>A34</f>
        <v>42736</v>
      </c>
      <c r="C73" s="58">
        <f>N1+(36*30.5)-1</f>
        <v>42768</v>
      </c>
      <c r="D73" s="59">
        <f>E73/30.5</f>
        <v>-1.0491803278688525</v>
      </c>
      <c r="E73" s="60">
        <f>B73-C73</f>
        <v>-32</v>
      </c>
      <c r="F73" s="61"/>
      <c r="G73" s="61">
        <f>E73*3</f>
        <v>-96</v>
      </c>
      <c r="H73" s="62">
        <f>INT(D73*5/4/12)</f>
        <v>-1</v>
      </c>
      <c r="I73" s="63">
        <f>INT(D73*5/4-(H73*12))</f>
        <v>10</v>
      </c>
      <c r="J73" s="64">
        <f>ROUND((D73*5/4-(H73*12)-I73)*30,0)</f>
        <v>21</v>
      </c>
      <c r="K73" s="86">
        <f>B73-G73</f>
        <v>42832</v>
      </c>
      <c r="L73"/>
      <c r="M73"/>
      <c r="N73"/>
      <c r="AE73" s="101"/>
    </row>
    <row r="74" spans="2:31" ht="15" hidden="1" customHeight="1" x14ac:dyDescent="0.25">
      <c r="D74"/>
      <c r="I74"/>
      <c r="J74"/>
      <c r="K74"/>
      <c r="L74"/>
      <c r="M74"/>
      <c r="N74"/>
      <c r="AE74" s="101"/>
    </row>
    <row r="75" spans="2:31" ht="15" hidden="1" customHeight="1" x14ac:dyDescent="0.25"/>
    <row r="76" spans="2:31" ht="15" hidden="1" customHeight="1" x14ac:dyDescent="0.25"/>
    <row r="77" spans="2:31" ht="15" hidden="1" customHeight="1" x14ac:dyDescent="0.25"/>
    <row r="78" spans="2:31" ht="15" hidden="1" customHeight="1" x14ac:dyDescent="0.25"/>
    <row r="79" spans="2:31" ht="15" hidden="1" customHeight="1" x14ac:dyDescent="0.25"/>
    <row r="80" spans="2:31" ht="15" hidden="1" customHeight="1" x14ac:dyDescent="0.25"/>
  </sheetData>
  <sheetProtection password="EB30" sheet="1" objects="1" scenarios="1" selectLockedCells="1"/>
  <mergeCells count="36">
    <mergeCell ref="T46:W46"/>
    <mergeCell ref="H52:K52"/>
    <mergeCell ref="H58:K58"/>
    <mergeCell ref="N58:Q58"/>
    <mergeCell ref="J15:J16"/>
    <mergeCell ref="T58:W58"/>
    <mergeCell ref="T34:W34"/>
    <mergeCell ref="H64:K64"/>
    <mergeCell ref="N64:Q64"/>
    <mergeCell ref="H70:K70"/>
    <mergeCell ref="P5:P11"/>
    <mergeCell ref="N1:R1"/>
    <mergeCell ref="H46:K46"/>
    <mergeCell ref="N46:Q46"/>
    <mergeCell ref="H4:M4"/>
    <mergeCell ref="N34:Q34"/>
    <mergeCell ref="I6:K6"/>
    <mergeCell ref="Z34:AC34"/>
    <mergeCell ref="AF34:AI34"/>
    <mergeCell ref="H40:K40"/>
    <mergeCell ref="N40:Q40"/>
    <mergeCell ref="T40:W40"/>
    <mergeCell ref="Z40:AC40"/>
    <mergeCell ref="AF40:AI40"/>
    <mergeCell ref="C9:E9"/>
    <mergeCell ref="J1:M1"/>
    <mergeCell ref="A34:B34"/>
    <mergeCell ref="C34:D34"/>
    <mergeCell ref="H34:K34"/>
    <mergeCell ref="B3:F3"/>
    <mergeCell ref="L9:N9"/>
    <mergeCell ref="I5:K5"/>
    <mergeCell ref="I7:K7"/>
    <mergeCell ref="I8:K8"/>
    <mergeCell ref="I9:K9"/>
    <mergeCell ref="I10:K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AO111"/>
  <sheetViews>
    <sheetView showGridLines="0" zoomScale="80" zoomScaleNormal="80" workbookViewId="0">
      <selection activeCell="M1" sqref="M1:Q1"/>
    </sheetView>
  </sheetViews>
  <sheetFormatPr baseColWidth="10" defaultRowHeight="15" x14ac:dyDescent="0.25"/>
  <cols>
    <col min="1" max="7" width="11.42578125" style="94"/>
    <col min="8" max="8" width="14.42578125" style="94" customWidth="1"/>
    <col min="9" max="10" width="11.42578125" style="94"/>
    <col min="11" max="11" width="8.42578125" style="94" customWidth="1"/>
    <col min="12" max="13" width="11" style="94" customWidth="1"/>
    <col min="14" max="14" width="12" style="94" customWidth="1"/>
    <col min="15" max="15" width="11.42578125" style="94"/>
    <col min="16" max="16" width="20.28515625" style="94" customWidth="1"/>
    <col min="17" max="18" width="11.42578125" style="94"/>
    <col min="19" max="19" width="3.7109375" style="94" customWidth="1"/>
    <col min="20" max="20" width="19.42578125" style="94" customWidth="1"/>
    <col min="21" max="21" width="8" style="94" customWidth="1"/>
    <col min="22" max="22" width="5.7109375" style="94" customWidth="1"/>
    <col min="23" max="23" width="11.42578125" style="94"/>
    <col min="24" max="28" width="5.140625" style="94" customWidth="1"/>
    <col min="29" max="29" width="11.42578125" style="94"/>
    <col min="30" max="34" width="5.5703125" style="94" customWidth="1"/>
    <col min="35" max="35" width="11.42578125" style="94"/>
    <col min="36" max="36" width="5.28515625" style="94" customWidth="1"/>
    <col min="37" max="40" width="6.28515625" style="94" customWidth="1"/>
    <col min="41" max="16384" width="11.42578125" style="94"/>
  </cols>
  <sheetData>
    <row r="1" spans="1:17" ht="27" thickBot="1" x14ac:dyDescent="0.3">
      <c r="A1" s="286" t="s">
        <v>149</v>
      </c>
      <c r="B1" s="281"/>
      <c r="C1" s="281"/>
      <c r="D1" s="281"/>
      <c r="E1" s="281"/>
      <c r="F1" s="281"/>
      <c r="G1" s="289" t="s">
        <v>157</v>
      </c>
      <c r="I1" s="348" t="s">
        <v>165</v>
      </c>
      <c r="J1" s="349"/>
      <c r="K1" s="349"/>
      <c r="L1" s="361"/>
      <c r="M1" s="362">
        <v>41315</v>
      </c>
      <c r="N1" s="363"/>
      <c r="O1" s="363"/>
      <c r="P1" s="363"/>
      <c r="Q1" s="363"/>
    </row>
    <row r="2" spans="1:17" ht="15.75" x14ac:dyDescent="0.25">
      <c r="A2" s="272" t="s">
        <v>150</v>
      </c>
      <c r="B2" s="181"/>
      <c r="C2" s="181"/>
      <c r="D2" s="181"/>
      <c r="E2" s="181"/>
      <c r="F2" s="181"/>
      <c r="G2" s="282"/>
    </row>
    <row r="3" spans="1:17" ht="15.75" x14ac:dyDescent="0.25">
      <c r="A3" s="273" t="s">
        <v>151</v>
      </c>
      <c r="B3" s="283"/>
      <c r="C3" s="283"/>
      <c r="D3" s="283"/>
      <c r="E3" s="283"/>
      <c r="F3" s="283"/>
      <c r="G3" s="284"/>
    </row>
    <row r="4" spans="1:17" ht="15.75" x14ac:dyDescent="0.25">
      <c r="A4" s="287" t="s">
        <v>152</v>
      </c>
      <c r="B4" s="285"/>
      <c r="C4" s="285"/>
      <c r="D4" s="285"/>
      <c r="E4" s="285"/>
      <c r="F4" s="285"/>
      <c r="G4" s="290" t="s">
        <v>159</v>
      </c>
      <c r="H4" s="239"/>
    </row>
    <row r="5" spans="1:17" ht="15.75" x14ac:dyDescent="0.25">
      <c r="A5" s="288" t="s">
        <v>153</v>
      </c>
      <c r="B5" s="285"/>
      <c r="C5" s="285"/>
      <c r="D5" s="285"/>
      <c r="E5" s="285"/>
      <c r="F5" s="285"/>
      <c r="G5" s="290" t="s">
        <v>158</v>
      </c>
      <c r="H5" s="239"/>
    </row>
    <row r="6" spans="1:17" ht="15.75" thickBot="1" x14ac:dyDescent="0.3">
      <c r="H6" s="239"/>
    </row>
    <row r="7" spans="1:17" ht="29.25" thickBot="1" x14ac:dyDescent="0.3">
      <c r="B7" s="352" t="s">
        <v>204</v>
      </c>
      <c r="C7" s="353"/>
      <c r="D7" s="353"/>
      <c r="E7" s="353"/>
      <c r="F7" s="354"/>
      <c r="G7" s="237"/>
      <c r="H7" s="357" t="s">
        <v>173</v>
      </c>
      <c r="I7" s="357"/>
      <c r="J7" s="357"/>
      <c r="K7" s="357"/>
      <c r="L7" s="357"/>
      <c r="M7" s="357"/>
      <c r="N7" s="357"/>
    </row>
    <row r="8" spans="1:17" x14ac:dyDescent="0.25">
      <c r="H8" s="92"/>
    </row>
    <row r="9" spans="1:17" ht="24" thickBot="1" x14ac:dyDescent="0.3">
      <c r="C9" s="416" t="s">
        <v>118</v>
      </c>
      <c r="D9" s="416"/>
      <c r="E9" s="416"/>
      <c r="H9" s="92"/>
      <c r="K9" s="416" t="s">
        <v>113</v>
      </c>
      <c r="L9" s="416"/>
      <c r="M9" s="416"/>
    </row>
    <row r="10" spans="1:17" ht="23.25" customHeight="1" x14ac:dyDescent="0.25">
      <c r="H10" s="92"/>
      <c r="P10" s="358" t="s">
        <v>166</v>
      </c>
    </row>
    <row r="11" spans="1:17" ht="23.25" customHeight="1" x14ac:dyDescent="0.25">
      <c r="B11" s="415" t="s">
        <v>114</v>
      </c>
      <c r="C11" s="415"/>
      <c r="D11" s="415"/>
      <c r="E11" s="165"/>
      <c r="F11" s="165"/>
      <c r="G11" s="165"/>
      <c r="H11" s="148"/>
      <c r="I11" s="165"/>
      <c r="J11" s="169" t="s">
        <v>65</v>
      </c>
      <c r="K11" s="170" t="s">
        <v>115</v>
      </c>
      <c r="L11" s="171"/>
      <c r="M11" s="171"/>
      <c r="N11" s="165"/>
      <c r="P11" s="359"/>
    </row>
    <row r="12" spans="1:17" ht="23.25" customHeight="1" x14ac:dyDescent="0.25">
      <c r="B12" s="165"/>
      <c r="C12" s="165"/>
      <c r="D12" s="165"/>
      <c r="E12" s="165"/>
      <c r="F12" s="165"/>
      <c r="G12" s="165"/>
      <c r="H12" s="148"/>
      <c r="I12" s="165"/>
      <c r="J12" s="165"/>
      <c r="K12" s="165"/>
      <c r="L12" s="165"/>
      <c r="M12" s="165"/>
      <c r="N12" s="165"/>
      <c r="P12" s="359"/>
    </row>
    <row r="13" spans="1:17" ht="23.25" customHeight="1" thickBot="1" x14ac:dyDescent="0.3">
      <c r="B13" s="137" t="s">
        <v>37</v>
      </c>
      <c r="C13" s="137" t="s">
        <v>38</v>
      </c>
      <c r="D13" s="137" t="s">
        <v>39</v>
      </c>
      <c r="E13" s="137" t="s">
        <v>40</v>
      </c>
      <c r="F13" s="137" t="s">
        <v>39</v>
      </c>
      <c r="G13" s="165"/>
      <c r="H13" s="148"/>
      <c r="I13" s="137" t="s">
        <v>97</v>
      </c>
      <c r="J13" s="137" t="s">
        <v>37</v>
      </c>
      <c r="K13" s="137" t="s">
        <v>38</v>
      </c>
      <c r="L13" s="137" t="s">
        <v>39</v>
      </c>
      <c r="M13" s="137" t="s">
        <v>40</v>
      </c>
      <c r="N13" s="137" t="s">
        <v>39</v>
      </c>
      <c r="P13" s="360"/>
    </row>
    <row r="14" spans="1:17" x14ac:dyDescent="0.25">
      <c r="B14" s="138"/>
      <c r="C14" s="138"/>
      <c r="D14" s="137" t="s">
        <v>41</v>
      </c>
      <c r="E14" s="137" t="s">
        <v>42</v>
      </c>
      <c r="F14" s="137" t="s">
        <v>43</v>
      </c>
      <c r="G14" s="165"/>
      <c r="H14" s="148"/>
      <c r="I14" s="137" t="s">
        <v>98</v>
      </c>
      <c r="J14" s="138"/>
      <c r="K14" s="138"/>
      <c r="L14" s="137" t="s">
        <v>41</v>
      </c>
      <c r="M14" s="137" t="s">
        <v>42</v>
      </c>
      <c r="N14" s="137" t="s">
        <v>43</v>
      </c>
    </row>
    <row r="15" spans="1:17" ht="21" x14ac:dyDescent="0.25">
      <c r="B15" s="197">
        <v>1</v>
      </c>
      <c r="C15" s="145" t="s">
        <v>44</v>
      </c>
      <c r="D15" s="145">
        <f>LOOKUP(F15,'IB-IM et VP'!A:A,'IB-IM et VP'!C:C)</f>
        <v>332</v>
      </c>
      <c r="E15" s="146">
        <f>D15*'IB-IM et VP'!P3</f>
        <v>1546.4808999999998</v>
      </c>
      <c r="F15" s="145">
        <v>357</v>
      </c>
      <c r="G15" s="165"/>
      <c r="H15" s="227" t="s">
        <v>57</v>
      </c>
      <c r="I15" s="167">
        <f t="shared" ref="I15:I24" si="0">L15-D15</f>
        <v>7</v>
      </c>
      <c r="J15" s="404">
        <v>1</v>
      </c>
      <c r="K15" s="145" t="s">
        <v>45</v>
      </c>
      <c r="L15" s="145">
        <f>LOOKUP(N15,'IB-IM et VP'!A:A,'IB-IM et VP'!C:C)</f>
        <v>339</v>
      </c>
      <c r="M15" s="146">
        <f>L15*'IB-IM et VP'!P3</f>
        <v>1579.0874249999997</v>
      </c>
      <c r="N15" s="145">
        <v>366</v>
      </c>
      <c r="P15" s="198">
        <f>A71</f>
        <v>42736</v>
      </c>
    </row>
    <row r="16" spans="1:17" ht="21" x14ac:dyDescent="0.25">
      <c r="B16" s="197">
        <v>2</v>
      </c>
      <c r="C16" s="145" t="s">
        <v>45</v>
      </c>
      <c r="D16" s="145">
        <f>LOOKUP(F16,'IB-IM et VP'!A:A,'IB-IM et VP'!C:C)</f>
        <v>335</v>
      </c>
      <c r="E16" s="146">
        <f>D16*'IB-IM et VP'!P3</f>
        <v>1560.4551249999997</v>
      </c>
      <c r="F16" s="145">
        <v>361</v>
      </c>
      <c r="G16" s="165"/>
      <c r="H16" s="227" t="s">
        <v>56</v>
      </c>
      <c r="I16" s="167">
        <f t="shared" si="0"/>
        <v>4</v>
      </c>
      <c r="J16" s="417"/>
      <c r="K16" s="145" t="s">
        <v>45</v>
      </c>
      <c r="L16" s="145">
        <f>LOOKUP(N16,'IB-IM et VP'!A:A,'IB-IM et VP'!C:C)</f>
        <v>339</v>
      </c>
      <c r="M16" s="146">
        <f>L16*'IB-IM et VP'!P3</f>
        <v>1579.0874249999997</v>
      </c>
      <c r="N16" s="145">
        <v>366</v>
      </c>
      <c r="O16" s="211"/>
      <c r="P16" s="195">
        <f>M1</f>
        <v>41315</v>
      </c>
    </row>
    <row r="17" spans="2:29" ht="21" x14ac:dyDescent="0.25">
      <c r="B17" s="197">
        <v>3</v>
      </c>
      <c r="C17" s="145" t="s">
        <v>45</v>
      </c>
      <c r="D17" s="145">
        <f>LOOKUP(F17,'IB-IM et VP'!A:A,'IB-IM et VP'!C:C)</f>
        <v>338</v>
      </c>
      <c r="E17" s="146">
        <f>D17*'IB-IM et VP'!P3</f>
        <v>1574.4293499999997</v>
      </c>
      <c r="F17" s="145">
        <v>365</v>
      </c>
      <c r="G17" s="165"/>
      <c r="H17" s="227" t="s">
        <v>56</v>
      </c>
      <c r="I17" s="167">
        <f t="shared" si="0"/>
        <v>6</v>
      </c>
      <c r="J17" s="197">
        <v>2</v>
      </c>
      <c r="K17" s="145" t="s">
        <v>45</v>
      </c>
      <c r="L17" s="145">
        <f>LOOKUP(N17,'IB-IM et VP'!A:A,'IB-IM et VP'!C:C)</f>
        <v>344</v>
      </c>
      <c r="M17" s="146">
        <f>L17*'IB-IM et VP'!P3</f>
        <v>1602.3777999999998</v>
      </c>
      <c r="N17" s="145">
        <v>373</v>
      </c>
      <c r="P17" s="198">
        <f>M1</f>
        <v>41315</v>
      </c>
    </row>
    <row r="18" spans="2:29" ht="21" x14ac:dyDescent="0.25">
      <c r="B18" s="197">
        <v>4</v>
      </c>
      <c r="C18" s="145" t="s">
        <v>45</v>
      </c>
      <c r="D18" s="145">
        <f>LOOKUP(F18,'IB-IM et VP'!A:A,'IB-IM et VP'!C:C)</f>
        <v>341</v>
      </c>
      <c r="E18" s="146">
        <f>D18*'IB-IM et VP'!P3</f>
        <v>1588.4035749999998</v>
      </c>
      <c r="F18" s="145">
        <v>369</v>
      </c>
      <c r="G18" s="165"/>
      <c r="H18" s="227" t="s">
        <v>56</v>
      </c>
      <c r="I18" s="167">
        <f t="shared" si="0"/>
        <v>8</v>
      </c>
      <c r="J18" s="197">
        <v>3</v>
      </c>
      <c r="K18" s="145" t="s">
        <v>45</v>
      </c>
      <c r="L18" s="145">
        <f>LOOKUP(N18,'IB-IM et VP'!A:A,'IB-IM et VP'!C:C)</f>
        <v>349</v>
      </c>
      <c r="M18" s="146">
        <f>L18*'IB-IM et VP'!P3</f>
        <v>1625.6681749999998</v>
      </c>
      <c r="N18" s="145">
        <v>379</v>
      </c>
      <c r="O18" s="211"/>
      <c r="P18" s="195">
        <f>M1</f>
        <v>41315</v>
      </c>
    </row>
    <row r="19" spans="2:29" ht="21" x14ac:dyDescent="0.25">
      <c r="B19" s="197">
        <v>5</v>
      </c>
      <c r="C19" s="145" t="s">
        <v>45</v>
      </c>
      <c r="D19" s="145">
        <f>LOOKUP(F19,'IB-IM et VP'!A:A,'IB-IM et VP'!C:C)</f>
        <v>351</v>
      </c>
      <c r="E19" s="146">
        <f>D19*'IB-IM et VP'!P3</f>
        <v>1634.9843249999997</v>
      </c>
      <c r="F19" s="145">
        <v>381</v>
      </c>
      <c r="G19" s="165"/>
      <c r="H19" s="227" t="s">
        <v>56</v>
      </c>
      <c r="I19" s="167">
        <f t="shared" si="0"/>
        <v>5</v>
      </c>
      <c r="J19" s="197">
        <v>4</v>
      </c>
      <c r="K19" s="145" t="s">
        <v>45</v>
      </c>
      <c r="L19" s="145">
        <f>LOOKUP(N19,'IB-IM et VP'!A:A,'IB-IM et VP'!C:C)</f>
        <v>356</v>
      </c>
      <c r="M19" s="146">
        <f>L19*'IB-IM et VP'!P3</f>
        <v>1658.2746999999997</v>
      </c>
      <c r="N19" s="145">
        <v>389</v>
      </c>
      <c r="P19" s="198">
        <f>M1</f>
        <v>41315</v>
      </c>
    </row>
    <row r="20" spans="2:29" ht="21" x14ac:dyDescent="0.25">
      <c r="B20" s="197">
        <v>6</v>
      </c>
      <c r="C20" s="145" t="s">
        <v>45</v>
      </c>
      <c r="D20" s="145">
        <f>LOOKUP(F20,'IB-IM et VP'!A:A,'IB-IM et VP'!C:C)</f>
        <v>364</v>
      </c>
      <c r="E20" s="146">
        <f>D20*'IB-IM et VP'!P3</f>
        <v>1695.5392999999997</v>
      </c>
      <c r="F20" s="145">
        <v>403</v>
      </c>
      <c r="G20" s="165"/>
      <c r="H20" s="227" t="s">
        <v>56</v>
      </c>
      <c r="I20" s="167">
        <f t="shared" si="0"/>
        <v>2</v>
      </c>
      <c r="J20" s="197">
        <v>5</v>
      </c>
      <c r="K20" s="145" t="s">
        <v>45</v>
      </c>
      <c r="L20" s="145">
        <f>LOOKUP(N20,'IB-IM et VP'!A:A,'IB-IM et VP'!C:C)</f>
        <v>366</v>
      </c>
      <c r="M20" s="146">
        <f>L20*'IB-IM et VP'!P3</f>
        <v>1704.8554499999998</v>
      </c>
      <c r="N20" s="145">
        <v>406</v>
      </c>
      <c r="O20" s="211"/>
      <c r="P20" s="195">
        <f>M1</f>
        <v>41315</v>
      </c>
    </row>
    <row r="21" spans="2:29" ht="21" x14ac:dyDescent="0.25">
      <c r="B21" s="197">
        <v>7</v>
      </c>
      <c r="C21" s="145" t="s">
        <v>45</v>
      </c>
      <c r="D21" s="145">
        <f>LOOKUP(F21,'IB-IM et VP'!A:A,'IB-IM et VP'!C:C)</f>
        <v>377</v>
      </c>
      <c r="E21" s="146">
        <f>D21*'IB-IM et VP'!P3</f>
        <v>1756.0942749999997</v>
      </c>
      <c r="F21" s="145">
        <v>425</v>
      </c>
      <c r="G21" s="165"/>
      <c r="H21" s="227" t="s">
        <v>56</v>
      </c>
      <c r="I21" s="167">
        <f t="shared" si="0"/>
        <v>2</v>
      </c>
      <c r="J21" s="197">
        <v>6</v>
      </c>
      <c r="K21" s="145" t="s">
        <v>45</v>
      </c>
      <c r="L21" s="145">
        <f>LOOKUP(N21,'IB-IM et VP'!A:A,'IB-IM et VP'!C:C)</f>
        <v>379</v>
      </c>
      <c r="M21" s="146">
        <f>L21*'IB-IM et VP'!P3</f>
        <v>1765.4104249999998</v>
      </c>
      <c r="N21" s="145">
        <v>429</v>
      </c>
      <c r="P21" s="198">
        <f>M1</f>
        <v>41315</v>
      </c>
    </row>
    <row r="22" spans="2:29" ht="21" x14ac:dyDescent="0.25">
      <c r="B22" s="197">
        <v>8</v>
      </c>
      <c r="C22" s="145" t="s">
        <v>46</v>
      </c>
      <c r="D22" s="145">
        <f>LOOKUP(F22,'IB-IM et VP'!A:A,'IB-IM et VP'!C:C)</f>
        <v>392</v>
      </c>
      <c r="E22" s="146">
        <f>D22*'IB-IM et VP'!P3</f>
        <v>1825.9653999999998</v>
      </c>
      <c r="F22" s="145">
        <v>446</v>
      </c>
      <c r="G22" s="165"/>
      <c r="H22" s="227" t="s">
        <v>58</v>
      </c>
      <c r="I22" s="167">
        <f t="shared" si="0"/>
        <v>2</v>
      </c>
      <c r="J22" s="197">
        <v>7</v>
      </c>
      <c r="K22" s="145" t="s">
        <v>45</v>
      </c>
      <c r="L22" s="145">
        <f>LOOKUP(N22,'IB-IM et VP'!A:A,'IB-IM et VP'!C:C)</f>
        <v>394</v>
      </c>
      <c r="M22" s="146">
        <f>L22*'IB-IM et VP'!P3</f>
        <v>1835.2815499999997</v>
      </c>
      <c r="N22" s="145">
        <v>449</v>
      </c>
      <c r="O22" s="211"/>
      <c r="P22" s="195">
        <f>W74</f>
        <v>41788.666666666664</v>
      </c>
    </row>
    <row r="23" spans="2:29" ht="21" x14ac:dyDescent="0.25">
      <c r="B23" s="197">
        <v>9</v>
      </c>
      <c r="C23" s="145" t="s">
        <v>46</v>
      </c>
      <c r="D23" s="145">
        <f>LOOKUP(F23,'IB-IM et VP'!A:A,'IB-IM et VP'!C:C)</f>
        <v>406</v>
      </c>
      <c r="E23" s="146">
        <f>D23*'IB-IM et VP'!P3</f>
        <v>1891.1784499999997</v>
      </c>
      <c r="F23" s="145">
        <v>464</v>
      </c>
      <c r="G23" s="165"/>
      <c r="H23" s="227" t="s">
        <v>56</v>
      </c>
      <c r="I23" s="167">
        <f t="shared" si="0"/>
        <v>7</v>
      </c>
      <c r="J23" s="197">
        <v>8</v>
      </c>
      <c r="K23" s="145" t="s">
        <v>46</v>
      </c>
      <c r="L23" s="145">
        <f>LOOKUP(N23,'IB-IM et VP'!A:A,'IB-IM et VP'!C:C)</f>
        <v>413</v>
      </c>
      <c r="M23" s="146">
        <f>L23*'IB-IM et VP'!P3</f>
        <v>1923.7849749999998</v>
      </c>
      <c r="N23" s="145">
        <v>475</v>
      </c>
      <c r="P23" s="198">
        <f>M1</f>
        <v>41315</v>
      </c>
    </row>
    <row r="24" spans="2:29" ht="21.75" thickBot="1" x14ac:dyDescent="0.3">
      <c r="B24" s="404">
        <v>10</v>
      </c>
      <c r="C24" s="408" t="s">
        <v>47</v>
      </c>
      <c r="D24" s="408">
        <f>LOOKUP(F24,'IB-IM et VP'!A:A,'IB-IM et VP'!C:C)</f>
        <v>428</v>
      </c>
      <c r="E24" s="410">
        <f>D24*'IB-IM et VP'!P3</f>
        <v>1993.6560999999997</v>
      </c>
      <c r="F24" s="408">
        <v>497</v>
      </c>
      <c r="G24" s="168" t="s">
        <v>66</v>
      </c>
      <c r="H24" s="227" t="s">
        <v>56</v>
      </c>
      <c r="I24" s="167">
        <f t="shared" si="0"/>
        <v>1</v>
      </c>
      <c r="J24" s="197">
        <v>9</v>
      </c>
      <c r="K24" s="145" t="s">
        <v>46</v>
      </c>
      <c r="L24" s="145">
        <f>LOOKUP(N24,'IB-IM et VP'!A:A,'IB-IM et VP'!C:C)</f>
        <v>429</v>
      </c>
      <c r="M24" s="146">
        <f>L24*'IB-IM et VP'!P3</f>
        <v>1998.3141749999998</v>
      </c>
      <c r="N24" s="145">
        <v>498</v>
      </c>
      <c r="O24" s="211"/>
      <c r="P24" s="195">
        <f>M1</f>
        <v>41315</v>
      </c>
    </row>
    <row r="25" spans="2:29" ht="21.75" thickBot="1" x14ac:dyDescent="0.3">
      <c r="B25" s="405"/>
      <c r="C25" s="409"/>
      <c r="D25" s="409"/>
      <c r="E25" s="411"/>
      <c r="F25" s="409"/>
      <c r="G25" s="168" t="s">
        <v>67</v>
      </c>
      <c r="H25" s="227" t="s">
        <v>112</v>
      </c>
      <c r="I25" s="167">
        <f>L25-D24</f>
        <v>12</v>
      </c>
      <c r="J25" s="197">
        <v>10</v>
      </c>
      <c r="K25" s="145" t="s">
        <v>46</v>
      </c>
      <c r="L25" s="145">
        <f>LOOKUP(N25,'IB-IM et VP'!A:A,'IB-IM et VP'!C:C)</f>
        <v>440</v>
      </c>
      <c r="M25" s="146">
        <f>L25*'IB-IM et VP'!P3</f>
        <v>2049.5529999999999</v>
      </c>
      <c r="N25" s="145">
        <v>512</v>
      </c>
      <c r="P25" s="198">
        <f>K110</f>
        <v>41764</v>
      </c>
      <c r="Q25" s="252" t="b">
        <f>IF(L25,K110&lt;A71,K110&gt;M1)</f>
        <v>1</v>
      </c>
      <c r="R25" s="402" t="s">
        <v>191</v>
      </c>
      <c r="S25" s="402"/>
      <c r="T25" s="402"/>
      <c r="U25" s="402"/>
      <c r="V25" s="402"/>
      <c r="W25" s="403"/>
      <c r="Z25" s="253"/>
      <c r="AA25" s="253"/>
      <c r="AB25" s="253"/>
      <c r="AC25" s="253"/>
    </row>
    <row r="26" spans="2:29" ht="21" x14ac:dyDescent="0.25">
      <c r="B26" s="197">
        <v>11</v>
      </c>
      <c r="C26" s="145" t="s">
        <v>47</v>
      </c>
      <c r="D26" s="145">
        <f>LOOKUP(F26,'IB-IM et VP'!A:A,'IB-IM et VP'!C:C)</f>
        <v>449</v>
      </c>
      <c r="E26" s="146">
        <f>D26*'IB-IM et VP'!P3</f>
        <v>2091.4756749999997</v>
      </c>
      <c r="F26" s="145">
        <v>524</v>
      </c>
      <c r="G26" s="165"/>
      <c r="H26" s="227" t="s">
        <v>59</v>
      </c>
      <c r="I26" s="167">
        <f>L26-D26</f>
        <v>4</v>
      </c>
      <c r="J26" s="197">
        <v>11</v>
      </c>
      <c r="K26" s="145" t="s">
        <v>46</v>
      </c>
      <c r="L26" s="145">
        <f>LOOKUP(N26,'IB-IM et VP'!A:A,'IB-IM et VP'!C:C)</f>
        <v>453</v>
      </c>
      <c r="M26" s="146">
        <f>L26*'IB-IM et VP'!P3</f>
        <v>2110.1079749999999</v>
      </c>
      <c r="N26" s="145">
        <v>529</v>
      </c>
      <c r="O26" s="211"/>
      <c r="P26" s="195">
        <f>Q74</f>
        <v>41670.25</v>
      </c>
    </row>
    <row r="27" spans="2:29" ht="21" x14ac:dyDescent="0.25">
      <c r="B27" s="197">
        <v>12</v>
      </c>
      <c r="C27" s="145" t="s">
        <v>47</v>
      </c>
      <c r="D27" s="145">
        <f>LOOKUP(F27,'IB-IM et VP'!A:A,'IB-IM et VP'!C:C)</f>
        <v>472</v>
      </c>
      <c r="E27" s="146">
        <f>D27*'IB-IM et VP'!P3</f>
        <v>2198.6113999999998</v>
      </c>
      <c r="F27" s="145">
        <v>557</v>
      </c>
      <c r="G27" s="165"/>
      <c r="H27" s="227" t="s">
        <v>56</v>
      </c>
      <c r="I27" s="167">
        <f>L27-D27</f>
        <v>2</v>
      </c>
      <c r="J27" s="197">
        <v>12</v>
      </c>
      <c r="K27" s="145" t="s">
        <v>47</v>
      </c>
      <c r="L27" s="145">
        <f>LOOKUP(N27,'IB-IM et VP'!A:A,'IB-IM et VP'!C:C)</f>
        <v>474</v>
      </c>
      <c r="M27" s="146">
        <f>L27*'IB-IM et VP'!P3</f>
        <v>2207.9275499999999</v>
      </c>
      <c r="N27" s="145">
        <v>559</v>
      </c>
      <c r="P27" s="198">
        <f>M1</f>
        <v>41315</v>
      </c>
    </row>
    <row r="28" spans="2:29" ht="21" x14ac:dyDescent="0.25">
      <c r="B28" s="197">
        <v>13</v>
      </c>
      <c r="C28" s="134"/>
      <c r="D28" s="145">
        <f>LOOKUP(F28,'IB-IM et VP'!A:A,'IB-IM et VP'!C:C)</f>
        <v>492</v>
      </c>
      <c r="E28" s="146">
        <f>D28*'IB-IM et VP'!P3</f>
        <v>2291.7728999999995</v>
      </c>
      <c r="F28" s="145">
        <v>582</v>
      </c>
      <c r="G28" s="165"/>
      <c r="H28" s="227" t="s">
        <v>56</v>
      </c>
      <c r="I28" s="167">
        <f>L28-D28</f>
        <v>6</v>
      </c>
      <c r="J28" s="197">
        <v>13</v>
      </c>
      <c r="K28" s="134"/>
      <c r="L28" s="145">
        <f>LOOKUP(N28,'IB-IM et VP'!A:A,'IB-IM et VP'!C:C)</f>
        <v>498</v>
      </c>
      <c r="M28" s="146">
        <f>L28*'IB-IM et VP'!P3</f>
        <v>2319.7213499999998</v>
      </c>
      <c r="N28" s="145">
        <v>591</v>
      </c>
      <c r="O28" s="211"/>
      <c r="P28" s="195">
        <f>M1</f>
        <v>41315</v>
      </c>
    </row>
    <row r="29" spans="2:29" x14ac:dyDescent="0.25">
      <c r="B29" s="138"/>
      <c r="C29" s="138"/>
      <c r="D29" s="138"/>
      <c r="E29" s="138"/>
      <c r="F29" s="138"/>
      <c r="G29" s="165"/>
      <c r="H29" s="165"/>
      <c r="I29" s="165"/>
      <c r="J29" s="138"/>
      <c r="K29" s="138"/>
      <c r="L29" s="138"/>
      <c r="M29" s="138"/>
      <c r="N29" s="138"/>
    </row>
    <row r="30" spans="2:29" x14ac:dyDescent="0.25">
      <c r="B30" s="415" t="s">
        <v>116</v>
      </c>
      <c r="C30" s="415"/>
      <c r="D30" s="415"/>
      <c r="E30" s="138"/>
      <c r="F30" s="138"/>
      <c r="G30" s="165"/>
      <c r="H30" s="165"/>
      <c r="I30" s="165"/>
      <c r="J30" s="169" t="s">
        <v>48</v>
      </c>
      <c r="K30" s="172" t="s">
        <v>117</v>
      </c>
      <c r="L30" s="173"/>
      <c r="M30" s="173"/>
      <c r="N30" s="138"/>
    </row>
    <row r="31" spans="2:29" x14ac:dyDescent="0.25">
      <c r="B31" s="138"/>
      <c r="C31" s="138"/>
      <c r="D31" s="138"/>
      <c r="E31" s="138"/>
      <c r="F31" s="138"/>
      <c r="G31" s="165"/>
      <c r="H31" s="165"/>
      <c r="I31" s="165"/>
      <c r="J31" s="138"/>
      <c r="K31" s="138"/>
      <c r="L31" s="138"/>
      <c r="M31" s="138"/>
      <c r="N31" s="138"/>
    </row>
    <row r="32" spans="2:29" x14ac:dyDescent="0.25">
      <c r="B32" s="137" t="s">
        <v>37</v>
      </c>
      <c r="C32" s="137" t="s">
        <v>38</v>
      </c>
      <c r="D32" s="137" t="s">
        <v>39</v>
      </c>
      <c r="E32" s="137" t="s">
        <v>40</v>
      </c>
      <c r="F32" s="137" t="s">
        <v>39</v>
      </c>
      <c r="G32" s="165"/>
      <c r="H32" s="165"/>
      <c r="I32" s="137" t="s">
        <v>97</v>
      </c>
      <c r="J32" s="137" t="s">
        <v>37</v>
      </c>
      <c r="K32" s="137" t="s">
        <v>38</v>
      </c>
      <c r="L32" s="137" t="s">
        <v>39</v>
      </c>
      <c r="M32" s="137" t="s">
        <v>40</v>
      </c>
      <c r="N32" s="137" t="s">
        <v>39</v>
      </c>
    </row>
    <row r="33" spans="2:16" x14ac:dyDescent="0.25">
      <c r="B33" s="138"/>
      <c r="C33" s="138"/>
      <c r="D33" s="137" t="s">
        <v>41</v>
      </c>
      <c r="E33" s="137" t="s">
        <v>42</v>
      </c>
      <c r="F33" s="137" t="s">
        <v>43</v>
      </c>
      <c r="G33" s="165"/>
      <c r="H33" s="165"/>
      <c r="I33" s="137" t="s">
        <v>98</v>
      </c>
      <c r="J33" s="138"/>
      <c r="K33" s="138"/>
      <c r="L33" s="137" t="s">
        <v>41</v>
      </c>
      <c r="M33" s="137" t="s">
        <v>42</v>
      </c>
      <c r="N33" s="137" t="s">
        <v>43</v>
      </c>
    </row>
    <row r="34" spans="2:16" ht="21" x14ac:dyDescent="0.25">
      <c r="B34" s="197">
        <v>1</v>
      </c>
      <c r="C34" s="145" t="s">
        <v>44</v>
      </c>
      <c r="D34" s="145">
        <f>LOOKUP(F34,'IB-IM et VP'!A:A,'IB-IM et VP'!C:C)</f>
        <v>333</v>
      </c>
      <c r="E34" s="146">
        <f>D34*'IB-IM et VP'!P3</f>
        <v>1551.1389749999998</v>
      </c>
      <c r="F34" s="145">
        <v>358</v>
      </c>
      <c r="G34" s="165"/>
      <c r="H34" s="227" t="s">
        <v>57</v>
      </c>
      <c r="I34" s="167">
        <f t="shared" ref="I34:I43" si="1">L34-D34</f>
        <v>14</v>
      </c>
      <c r="J34" s="404">
        <v>1</v>
      </c>
      <c r="K34" s="145" t="s">
        <v>45</v>
      </c>
      <c r="L34" s="145">
        <f>LOOKUP(N34,'IB-IM et VP'!A:A,'IB-IM et VP'!C:C)</f>
        <v>347</v>
      </c>
      <c r="M34" s="146">
        <f>L34*'IB-IM et VP'!P3</f>
        <v>1616.3520249999997</v>
      </c>
      <c r="N34" s="145">
        <v>377</v>
      </c>
      <c r="P34" s="198">
        <f>A71</f>
        <v>42736</v>
      </c>
    </row>
    <row r="35" spans="2:16" ht="21" x14ac:dyDescent="0.25">
      <c r="B35" s="197">
        <v>2</v>
      </c>
      <c r="C35" s="145" t="s">
        <v>45</v>
      </c>
      <c r="D35" s="145">
        <f>LOOKUP(F35,'IB-IM et VP'!A:A,'IB-IM et VP'!C:C)</f>
        <v>338</v>
      </c>
      <c r="E35" s="146">
        <f>D35*'IB-IM et VP'!P3</f>
        <v>1574.4293499999997</v>
      </c>
      <c r="F35" s="145">
        <v>365</v>
      </c>
      <c r="G35" s="165"/>
      <c r="H35" s="227" t="s">
        <v>56</v>
      </c>
      <c r="I35" s="167">
        <f t="shared" si="1"/>
        <v>9</v>
      </c>
      <c r="J35" s="405"/>
      <c r="K35" s="145" t="s">
        <v>45</v>
      </c>
      <c r="L35" s="145">
        <f>LOOKUP(N35,'IB-IM et VP'!A:A,'IB-IM et VP'!C:C)</f>
        <v>347</v>
      </c>
      <c r="M35" s="146">
        <f>L35*'IB-IM et VP'!P3</f>
        <v>1616.3520249999997</v>
      </c>
      <c r="N35" s="145">
        <v>377</v>
      </c>
      <c r="O35" s="211"/>
      <c r="P35" s="195">
        <f>M1</f>
        <v>41315</v>
      </c>
    </row>
    <row r="36" spans="2:16" ht="21" x14ac:dyDescent="0.25">
      <c r="B36" s="197">
        <v>3</v>
      </c>
      <c r="C36" s="145" t="s">
        <v>45</v>
      </c>
      <c r="D36" s="145">
        <f>LOOKUP(F36,'IB-IM et VP'!A:A,'IB-IM et VP'!C:C)</f>
        <v>346</v>
      </c>
      <c r="E36" s="146">
        <f>D36*'IB-IM et VP'!P3</f>
        <v>1611.6939499999999</v>
      </c>
      <c r="F36" s="145">
        <v>376</v>
      </c>
      <c r="G36" s="165"/>
      <c r="H36" s="227" t="s">
        <v>56</v>
      </c>
      <c r="I36" s="167">
        <f t="shared" si="1"/>
        <v>8</v>
      </c>
      <c r="J36" s="197">
        <v>2</v>
      </c>
      <c r="K36" s="145" t="s">
        <v>45</v>
      </c>
      <c r="L36" s="145">
        <f>LOOKUP(N36,'IB-IM et VP'!A:A,'IB-IM et VP'!C:C)</f>
        <v>354</v>
      </c>
      <c r="M36" s="146">
        <f>L36*'IB-IM et VP'!P3</f>
        <v>1648.9585499999998</v>
      </c>
      <c r="N36" s="145">
        <v>387</v>
      </c>
      <c r="P36" s="198">
        <f>M1</f>
        <v>41315</v>
      </c>
    </row>
    <row r="37" spans="2:16" ht="21" x14ac:dyDescent="0.25">
      <c r="B37" s="197">
        <v>4</v>
      </c>
      <c r="C37" s="145" t="s">
        <v>45</v>
      </c>
      <c r="D37" s="145">
        <f>LOOKUP(F37,'IB-IM et VP'!A:A,'IB-IM et VP'!C:C)</f>
        <v>354</v>
      </c>
      <c r="E37" s="146">
        <f>D37*'IB-IM et VP'!P3</f>
        <v>1648.9585499999998</v>
      </c>
      <c r="F37" s="145">
        <v>387</v>
      </c>
      <c r="G37" s="165"/>
      <c r="H37" s="227" t="s">
        <v>56</v>
      </c>
      <c r="I37" s="167">
        <f t="shared" si="1"/>
        <v>7</v>
      </c>
      <c r="J37" s="197">
        <v>3</v>
      </c>
      <c r="K37" s="145" t="s">
        <v>45</v>
      </c>
      <c r="L37" s="145">
        <f>LOOKUP(N37,'IB-IM et VP'!A:A,'IB-IM et VP'!C:C)</f>
        <v>361</v>
      </c>
      <c r="M37" s="146">
        <f>L37*'IB-IM et VP'!P3</f>
        <v>1681.5650749999998</v>
      </c>
      <c r="N37" s="145">
        <v>397</v>
      </c>
      <c r="O37" s="211"/>
      <c r="P37" s="195">
        <f>M1</f>
        <v>41315</v>
      </c>
    </row>
    <row r="38" spans="2:16" ht="21" x14ac:dyDescent="0.25">
      <c r="B38" s="197">
        <v>5</v>
      </c>
      <c r="C38" s="145" t="s">
        <v>45</v>
      </c>
      <c r="D38" s="145">
        <f>LOOKUP(F38,'IB-IM et VP'!A:A,'IB-IM et VP'!C:C)</f>
        <v>367</v>
      </c>
      <c r="E38" s="146">
        <f>D38*'IB-IM et VP'!P3</f>
        <v>1709.5135249999998</v>
      </c>
      <c r="F38" s="145">
        <v>408</v>
      </c>
      <c r="G38" s="165"/>
      <c r="H38" s="227" t="s">
        <v>56</v>
      </c>
      <c r="I38" s="167">
        <f t="shared" si="1"/>
        <v>6</v>
      </c>
      <c r="J38" s="197">
        <v>4</v>
      </c>
      <c r="K38" s="145" t="s">
        <v>45</v>
      </c>
      <c r="L38" s="145">
        <f>LOOKUP(N38,'IB-IM et VP'!A:A,'IB-IM et VP'!C:C)</f>
        <v>373</v>
      </c>
      <c r="M38" s="146">
        <f>L38*'IB-IM et VP'!P3</f>
        <v>1737.4619749999997</v>
      </c>
      <c r="N38" s="145">
        <v>420</v>
      </c>
      <c r="P38" s="198">
        <f>M1</f>
        <v>41315</v>
      </c>
    </row>
    <row r="39" spans="2:16" ht="21" x14ac:dyDescent="0.25">
      <c r="B39" s="197">
        <v>6</v>
      </c>
      <c r="C39" s="145" t="s">
        <v>45</v>
      </c>
      <c r="D39" s="145">
        <f>LOOKUP(F39,'IB-IM et VP'!A:A,'IB-IM et VP'!C:C)</f>
        <v>381</v>
      </c>
      <c r="E39" s="146">
        <f>D39*'IB-IM et VP'!P3</f>
        <v>1774.7265749999997</v>
      </c>
      <c r="F39" s="145">
        <v>431</v>
      </c>
      <c r="G39" s="165"/>
      <c r="H39" s="227" t="s">
        <v>56</v>
      </c>
      <c r="I39" s="167">
        <f t="shared" si="1"/>
        <v>4</v>
      </c>
      <c r="J39" s="197">
        <v>5</v>
      </c>
      <c r="K39" s="145" t="s">
        <v>45</v>
      </c>
      <c r="L39" s="145">
        <f>LOOKUP(N39,'IB-IM et VP'!A:A,'IB-IM et VP'!C:C)</f>
        <v>385</v>
      </c>
      <c r="M39" s="146">
        <f>L39*'IB-IM et VP'!P3</f>
        <v>1793.3588749999997</v>
      </c>
      <c r="N39" s="145">
        <v>437</v>
      </c>
      <c r="O39" s="211"/>
      <c r="P39" s="195">
        <f>M1</f>
        <v>41315</v>
      </c>
    </row>
    <row r="40" spans="2:16" ht="21" x14ac:dyDescent="0.25">
      <c r="B40" s="197">
        <v>7</v>
      </c>
      <c r="C40" s="145" t="s">
        <v>45</v>
      </c>
      <c r="D40" s="145">
        <f>LOOKUP(F40,'IB-IM et VP'!A:A,'IB-IM et VP'!C:C)</f>
        <v>396</v>
      </c>
      <c r="E40" s="146">
        <f>D40*'IB-IM et VP'!P3</f>
        <v>1844.5976999999998</v>
      </c>
      <c r="F40" s="145">
        <v>452</v>
      </c>
      <c r="G40" s="165"/>
      <c r="H40" s="227" t="s">
        <v>56</v>
      </c>
      <c r="I40" s="167">
        <f t="shared" si="1"/>
        <v>2</v>
      </c>
      <c r="J40" s="197">
        <v>6</v>
      </c>
      <c r="K40" s="145" t="s">
        <v>45</v>
      </c>
      <c r="L40" s="145">
        <f>LOOKUP(N40,'IB-IM et VP'!A:A,'IB-IM et VP'!C:C)</f>
        <v>398</v>
      </c>
      <c r="M40" s="146">
        <f>L40*'IB-IM et VP'!P3</f>
        <v>1853.9138499999997</v>
      </c>
      <c r="N40" s="145">
        <v>455</v>
      </c>
      <c r="P40" s="198">
        <f>M1</f>
        <v>41315</v>
      </c>
    </row>
    <row r="41" spans="2:16" ht="21" x14ac:dyDescent="0.25">
      <c r="B41" s="197">
        <v>8</v>
      </c>
      <c r="C41" s="134" t="s">
        <v>46</v>
      </c>
      <c r="D41" s="145">
        <f>LOOKUP(F41,'IB-IM et VP'!A:A,'IB-IM et VP'!C:C)</f>
        <v>411</v>
      </c>
      <c r="E41" s="146">
        <f>D41*'IB-IM et VP'!P3</f>
        <v>1914.4688249999997</v>
      </c>
      <c r="F41" s="145">
        <v>471</v>
      </c>
      <c r="G41" s="165"/>
      <c r="H41" s="227" t="s">
        <v>58</v>
      </c>
      <c r="I41" s="167">
        <f t="shared" si="1"/>
        <v>2</v>
      </c>
      <c r="J41" s="197">
        <v>7</v>
      </c>
      <c r="K41" s="145" t="s">
        <v>45</v>
      </c>
      <c r="L41" s="145">
        <f>LOOKUP(N41,'IB-IM et VP'!A:A,'IB-IM et VP'!C:C)</f>
        <v>413</v>
      </c>
      <c r="M41" s="146">
        <f>L41*'IB-IM et VP'!P3</f>
        <v>1923.7849749999998</v>
      </c>
      <c r="N41" s="145">
        <v>475</v>
      </c>
      <c r="O41" s="211"/>
      <c r="P41" s="195">
        <f>W74</f>
        <v>41788.666666666664</v>
      </c>
    </row>
    <row r="42" spans="2:16" ht="21" x14ac:dyDescent="0.25">
      <c r="B42" s="197">
        <v>9</v>
      </c>
      <c r="C42" s="134" t="s">
        <v>46</v>
      </c>
      <c r="D42" s="145">
        <f>LOOKUP(F42,'IB-IM et VP'!A:A,'IB-IM et VP'!C:C)</f>
        <v>431</v>
      </c>
      <c r="E42" s="146">
        <f>D42*'IB-IM et VP'!P3</f>
        <v>2007.6303249999996</v>
      </c>
      <c r="F42" s="145">
        <v>500</v>
      </c>
      <c r="G42" s="165"/>
      <c r="H42" s="227" t="s">
        <v>56</v>
      </c>
      <c r="I42" s="167">
        <f t="shared" si="1"/>
        <v>2</v>
      </c>
      <c r="J42" s="197">
        <v>8</v>
      </c>
      <c r="K42" s="134" t="s">
        <v>46</v>
      </c>
      <c r="L42" s="145">
        <f>LOOKUP(N42,'IB-IM et VP'!A:A,'IB-IM et VP'!C:C)</f>
        <v>433</v>
      </c>
      <c r="M42" s="146">
        <f>L42*'IB-IM et VP'!P3</f>
        <v>2016.9464749999997</v>
      </c>
      <c r="N42" s="145">
        <v>502</v>
      </c>
      <c r="P42" s="198">
        <f>M1</f>
        <v>41315</v>
      </c>
    </row>
    <row r="43" spans="2:16" ht="21" x14ac:dyDescent="0.25">
      <c r="B43" s="404">
        <v>10</v>
      </c>
      <c r="C43" s="406" t="s">
        <v>47</v>
      </c>
      <c r="D43" s="408">
        <f>LOOKUP(F43,'IB-IM et VP'!A:A,'IB-IM et VP'!C:C)</f>
        <v>451</v>
      </c>
      <c r="E43" s="410">
        <f>D43*'IB-IM et VP'!P3</f>
        <v>2100.7918249999998</v>
      </c>
      <c r="F43" s="408">
        <v>527</v>
      </c>
      <c r="G43" s="168" t="s">
        <v>70</v>
      </c>
      <c r="H43" s="227" t="s">
        <v>71</v>
      </c>
      <c r="I43" s="167">
        <f t="shared" si="1"/>
        <v>1</v>
      </c>
      <c r="J43" s="197">
        <v>9</v>
      </c>
      <c r="K43" s="134" t="s">
        <v>46</v>
      </c>
      <c r="L43" s="145">
        <f>LOOKUP(N43,'IB-IM et VP'!A:A,'IB-IM et VP'!C:C)</f>
        <v>452</v>
      </c>
      <c r="M43" s="146">
        <f>L43*'IB-IM et VP'!P3</f>
        <v>2105.4498999999996</v>
      </c>
      <c r="N43" s="145">
        <v>528</v>
      </c>
      <c r="O43" s="211"/>
      <c r="P43" s="195">
        <f>AO74</f>
        <v>37052</v>
      </c>
    </row>
    <row r="44" spans="2:16" ht="21" x14ac:dyDescent="0.25">
      <c r="B44" s="405"/>
      <c r="C44" s="407"/>
      <c r="D44" s="409"/>
      <c r="E44" s="411"/>
      <c r="F44" s="409"/>
      <c r="G44" s="168" t="s">
        <v>69</v>
      </c>
      <c r="H44" s="227" t="s">
        <v>72</v>
      </c>
      <c r="I44" s="167">
        <f>L44-D43</f>
        <v>8</v>
      </c>
      <c r="J44" s="197">
        <v>10</v>
      </c>
      <c r="K44" s="134" t="s">
        <v>46</v>
      </c>
      <c r="L44" s="145">
        <f>LOOKUP(N44,'IB-IM et VP'!A:A,'IB-IM et VP'!C:C)</f>
        <v>459</v>
      </c>
      <c r="M44" s="146">
        <f>L44*'IB-IM et VP'!P3</f>
        <v>2138.0564249999998</v>
      </c>
      <c r="N44" s="145">
        <v>540</v>
      </c>
      <c r="P44" s="198">
        <f>K92</f>
        <v>41680</v>
      </c>
    </row>
    <row r="45" spans="2:16" ht="21" x14ac:dyDescent="0.25">
      <c r="B45" s="197">
        <v>11</v>
      </c>
      <c r="C45" s="134" t="s">
        <v>47</v>
      </c>
      <c r="D45" s="145">
        <f>LOOKUP(F45,'IB-IM et VP'!A:A,'IB-IM et VP'!C:C)</f>
        <v>474</v>
      </c>
      <c r="E45" s="146">
        <f>D45*'IB-IM et VP'!P3</f>
        <v>2207.9275499999999</v>
      </c>
      <c r="F45" s="145">
        <v>559</v>
      </c>
      <c r="G45" s="165"/>
      <c r="H45" s="227" t="s">
        <v>59</v>
      </c>
      <c r="I45" s="167">
        <f>L45-D45</f>
        <v>3</v>
      </c>
      <c r="J45" s="197">
        <v>11</v>
      </c>
      <c r="K45" s="134" t="s">
        <v>46</v>
      </c>
      <c r="L45" s="145">
        <f>LOOKUP(N45,'IB-IM et VP'!A:A,'IB-IM et VP'!C:C)</f>
        <v>477</v>
      </c>
      <c r="M45" s="146">
        <f>L45*'IB-IM et VP'!P3</f>
        <v>2221.9017749999998</v>
      </c>
      <c r="N45" s="145">
        <v>563</v>
      </c>
      <c r="O45" s="211"/>
      <c r="P45" s="195">
        <f>Q74</f>
        <v>41670.25</v>
      </c>
    </row>
    <row r="46" spans="2:16" ht="21" x14ac:dyDescent="0.25">
      <c r="B46" s="197">
        <v>12</v>
      </c>
      <c r="C46" s="134" t="s">
        <v>47</v>
      </c>
      <c r="D46" s="145">
        <f>LOOKUP(F46,'IB-IM et VP'!A:A,'IB-IM et VP'!C:C)</f>
        <v>497</v>
      </c>
      <c r="E46" s="146">
        <f>D46*'IB-IM et VP'!P3</f>
        <v>2315.0632749999995</v>
      </c>
      <c r="F46" s="145">
        <v>589</v>
      </c>
      <c r="G46" s="165"/>
      <c r="H46" s="227" t="s">
        <v>56</v>
      </c>
      <c r="I46" s="167">
        <f>L46-D46</f>
        <v>3</v>
      </c>
      <c r="J46" s="197">
        <v>12</v>
      </c>
      <c r="K46" s="134" t="s">
        <v>47</v>
      </c>
      <c r="L46" s="145">
        <f>LOOKUP(N46,'IB-IM et VP'!A:A,'IB-IM et VP'!C:C)</f>
        <v>500</v>
      </c>
      <c r="M46" s="146">
        <f>L46*'IB-IM et VP'!P3</f>
        <v>2329.0374999999995</v>
      </c>
      <c r="N46" s="145">
        <v>593</v>
      </c>
      <c r="P46" s="198">
        <f>M1</f>
        <v>41315</v>
      </c>
    </row>
    <row r="47" spans="2:16" ht="21" x14ac:dyDescent="0.25">
      <c r="B47" s="197">
        <v>13</v>
      </c>
      <c r="C47" s="134"/>
      <c r="D47" s="145">
        <f>LOOKUP(F47,'IB-IM et VP'!A:A,'IB-IM et VP'!C:C)</f>
        <v>521</v>
      </c>
      <c r="E47" s="146">
        <f>D47*'IB-IM et VP'!P3</f>
        <v>2426.8570749999994</v>
      </c>
      <c r="F47" s="145">
        <v>621</v>
      </c>
      <c r="G47" s="165"/>
      <c r="H47" s="227" t="s">
        <v>56</v>
      </c>
      <c r="I47" s="167">
        <f>L47-D47</f>
        <v>8</v>
      </c>
      <c r="J47" s="197">
        <v>13</v>
      </c>
      <c r="K47" s="134"/>
      <c r="L47" s="145">
        <f>LOOKUP(N47,'IB-IM et VP'!A:A,'IB-IM et VP'!C:C)</f>
        <v>529</v>
      </c>
      <c r="M47" s="146">
        <f>L47*'IB-IM et VP'!P3</f>
        <v>2464.1216749999994</v>
      </c>
      <c r="N47" s="145">
        <v>631</v>
      </c>
      <c r="O47" s="211"/>
      <c r="P47" s="195">
        <f>M1</f>
        <v>41315</v>
      </c>
    </row>
    <row r="48" spans="2:16" x14ac:dyDescent="0.25">
      <c r="B48" s="137"/>
      <c r="C48" s="138"/>
      <c r="D48" s="138"/>
      <c r="E48" s="138"/>
      <c r="F48" s="138"/>
      <c r="G48" s="165"/>
      <c r="H48" s="165"/>
      <c r="I48" s="165"/>
      <c r="J48" s="137"/>
      <c r="K48" s="138"/>
      <c r="L48" s="138"/>
      <c r="M48" s="138"/>
      <c r="N48" s="138"/>
    </row>
    <row r="49" spans="2:16" x14ac:dyDescent="0.25">
      <c r="B49" s="137"/>
      <c r="C49" s="138"/>
      <c r="D49" s="138"/>
      <c r="E49" s="138"/>
      <c r="F49" s="138"/>
      <c r="G49" s="165"/>
      <c r="H49" s="165"/>
      <c r="I49" s="165"/>
      <c r="J49" s="137"/>
      <c r="K49" s="138"/>
      <c r="L49" s="138"/>
      <c r="M49" s="138"/>
      <c r="N49" s="138"/>
    </row>
    <row r="50" spans="2:16" x14ac:dyDescent="0.25">
      <c r="B50" s="174" t="s">
        <v>49</v>
      </c>
      <c r="C50" s="173"/>
      <c r="D50" s="138"/>
      <c r="E50" s="138"/>
      <c r="F50" s="138"/>
      <c r="G50" s="165"/>
      <c r="H50" s="165"/>
      <c r="I50" s="165"/>
      <c r="J50" s="174" t="s">
        <v>49</v>
      </c>
      <c r="K50" s="172" t="s">
        <v>74</v>
      </c>
      <c r="L50" s="138"/>
      <c r="M50" s="138"/>
      <c r="N50" s="138"/>
    </row>
    <row r="51" spans="2:16" x14ac:dyDescent="0.25">
      <c r="B51" s="137"/>
      <c r="C51" s="137"/>
      <c r="D51" s="137"/>
      <c r="E51" s="137"/>
      <c r="F51" s="137"/>
      <c r="G51" s="165"/>
      <c r="H51" s="165"/>
      <c r="I51" s="165"/>
      <c r="J51" s="137"/>
      <c r="K51" s="137"/>
      <c r="L51" s="137"/>
      <c r="M51" s="137"/>
      <c r="N51" s="137"/>
    </row>
    <row r="52" spans="2:16" x14ac:dyDescent="0.25">
      <c r="B52" s="138" t="s">
        <v>37</v>
      </c>
      <c r="C52" s="138" t="s">
        <v>38</v>
      </c>
      <c r="D52" s="137" t="s">
        <v>39</v>
      </c>
      <c r="E52" s="137" t="s">
        <v>40</v>
      </c>
      <c r="F52" s="137" t="s">
        <v>39</v>
      </c>
      <c r="G52" s="165"/>
      <c r="H52" s="165"/>
      <c r="I52" s="137" t="s">
        <v>97</v>
      </c>
      <c r="J52" s="138" t="s">
        <v>37</v>
      </c>
      <c r="K52" s="138" t="s">
        <v>38</v>
      </c>
      <c r="L52" s="137" t="s">
        <v>39</v>
      </c>
      <c r="M52" s="137" t="s">
        <v>40</v>
      </c>
      <c r="N52" s="137" t="s">
        <v>39</v>
      </c>
    </row>
    <row r="53" spans="2:16" x14ac:dyDescent="0.25">
      <c r="B53" s="138"/>
      <c r="C53" s="138"/>
      <c r="D53" s="138" t="s">
        <v>41</v>
      </c>
      <c r="E53" s="138" t="s">
        <v>42</v>
      </c>
      <c r="F53" s="138" t="s">
        <v>43</v>
      </c>
      <c r="G53" s="165"/>
      <c r="H53" s="165"/>
      <c r="I53" s="137" t="s">
        <v>98</v>
      </c>
      <c r="J53" s="138"/>
      <c r="K53" s="138"/>
      <c r="L53" s="138" t="s">
        <v>41</v>
      </c>
      <c r="M53" s="138" t="s">
        <v>42</v>
      </c>
      <c r="N53" s="138" t="s">
        <v>43</v>
      </c>
    </row>
    <row r="54" spans="2:16" ht="21" x14ac:dyDescent="0.25">
      <c r="B54" s="197">
        <v>1</v>
      </c>
      <c r="C54" s="145" t="s">
        <v>44</v>
      </c>
      <c r="D54" s="145">
        <f>LOOKUP(F54,'IB-IM et VP'!A:A,'IB-IM et VP'!C:C)</f>
        <v>371</v>
      </c>
      <c r="E54" s="146">
        <f>D54*'IB-IM et VP'!P3</f>
        <v>1728.1458249999998</v>
      </c>
      <c r="F54" s="145">
        <v>418</v>
      </c>
      <c r="G54" s="165"/>
      <c r="H54" s="227" t="s">
        <v>57</v>
      </c>
      <c r="I54" s="167">
        <f>L54-D54</f>
        <v>18</v>
      </c>
      <c r="J54" s="404">
        <v>1</v>
      </c>
      <c r="K54" s="145" t="s">
        <v>44</v>
      </c>
      <c r="L54" s="145">
        <f>LOOKUP(N54,'IB-IM et VP'!A:A,'IB-IM et VP'!C:C)</f>
        <v>389</v>
      </c>
      <c r="M54" s="146">
        <f>L54*'IB-IM et VP'!P3</f>
        <v>1811.9911749999997</v>
      </c>
      <c r="N54" s="145">
        <v>442</v>
      </c>
      <c r="P54" s="198">
        <f>A71</f>
        <v>42736</v>
      </c>
    </row>
    <row r="55" spans="2:16" ht="21" x14ac:dyDescent="0.25">
      <c r="B55" s="197">
        <v>2</v>
      </c>
      <c r="C55" s="145" t="s">
        <v>45</v>
      </c>
      <c r="D55" s="145">
        <f>LOOKUP(F55,'IB-IM et VP'!A:A,'IB-IM et VP'!C:C)</f>
        <v>386</v>
      </c>
      <c r="E55" s="146">
        <f>D55*'IB-IM et VP'!P3</f>
        <v>1798.0169499999997</v>
      </c>
      <c r="F55" s="145">
        <v>438</v>
      </c>
      <c r="G55" s="165"/>
      <c r="H55" s="227" t="s">
        <v>73</v>
      </c>
      <c r="I55" s="167">
        <f>L56-D55</f>
        <v>16</v>
      </c>
      <c r="J55" s="405"/>
      <c r="K55" s="145" t="s">
        <v>44</v>
      </c>
      <c r="L55" s="145">
        <f>LOOKUP(N55,'IB-IM et VP'!A:A,'IB-IM et VP'!C:C)</f>
        <v>389</v>
      </c>
      <c r="M55" s="146">
        <f>L55*'IB-IM et VP'!P4</f>
        <v>1811.9911749999997</v>
      </c>
      <c r="N55" s="145">
        <v>442</v>
      </c>
      <c r="O55" s="211"/>
      <c r="P55" s="195">
        <f>K74</f>
        <v>42025.5</v>
      </c>
    </row>
    <row r="56" spans="2:16" ht="21" x14ac:dyDescent="0.25">
      <c r="B56" s="197">
        <v>3</v>
      </c>
      <c r="C56" s="145" t="s">
        <v>45</v>
      </c>
      <c r="D56" s="145">
        <f>LOOKUP(F56,'IB-IM et VP'!A:A,'IB-IM et VP'!C:C)</f>
        <v>401</v>
      </c>
      <c r="E56" s="146">
        <f>D56*'IB-IM et VP'!P3</f>
        <v>1867.8880749999996</v>
      </c>
      <c r="F56" s="145">
        <v>458</v>
      </c>
      <c r="G56" s="165"/>
      <c r="H56" s="227" t="s">
        <v>56</v>
      </c>
      <c r="I56" s="167">
        <f t="shared" ref="I56:I64" si="2">L56-D56</f>
        <v>1</v>
      </c>
      <c r="J56" s="197">
        <v>2</v>
      </c>
      <c r="K56" s="145" t="s">
        <v>45</v>
      </c>
      <c r="L56" s="145">
        <f>LOOKUP(N56,'IB-IM et VP'!A:A,'IB-IM et VP'!C:C)</f>
        <v>402</v>
      </c>
      <c r="M56" s="146">
        <f>L56*'IB-IM et VP'!P3</f>
        <v>1872.5461499999997</v>
      </c>
      <c r="N56" s="145">
        <v>459</v>
      </c>
      <c r="P56" s="198">
        <f>M1</f>
        <v>41315</v>
      </c>
    </row>
    <row r="57" spans="2:16" ht="21" x14ac:dyDescent="0.25">
      <c r="B57" s="197">
        <v>4</v>
      </c>
      <c r="C57" s="145" t="s">
        <v>45</v>
      </c>
      <c r="D57" s="145">
        <f>LOOKUP(F57,'IB-IM et VP'!A:A,'IB-IM et VP'!C:C)</f>
        <v>416</v>
      </c>
      <c r="E57" s="146">
        <f>D57*'IB-IM et VP'!P3</f>
        <v>1937.7591999999997</v>
      </c>
      <c r="F57" s="145">
        <v>480</v>
      </c>
      <c r="G57" s="165"/>
      <c r="H57" s="227" t="s">
        <v>56</v>
      </c>
      <c r="I57" s="167">
        <f t="shared" si="2"/>
        <v>1</v>
      </c>
      <c r="J57" s="197">
        <v>3</v>
      </c>
      <c r="K57" s="145" t="s">
        <v>45</v>
      </c>
      <c r="L57" s="145">
        <f>LOOKUP(N57,'IB-IM et VP'!A:A,'IB-IM et VP'!C:C)</f>
        <v>417</v>
      </c>
      <c r="M57" s="146">
        <f>L57*'IB-IM et VP'!P3</f>
        <v>1942.4172749999998</v>
      </c>
      <c r="N57" s="145">
        <v>482</v>
      </c>
      <c r="O57" s="211"/>
      <c r="P57" s="195">
        <f>M1</f>
        <v>41315</v>
      </c>
    </row>
    <row r="58" spans="2:16" ht="21" x14ac:dyDescent="0.25">
      <c r="B58" s="197">
        <v>5</v>
      </c>
      <c r="C58" s="145" t="s">
        <v>45</v>
      </c>
      <c r="D58" s="145">
        <f>LOOKUP(F58,'IB-IM et VP'!A:A,'IB-IM et VP'!C:C)</f>
        <v>434</v>
      </c>
      <c r="E58" s="146">
        <f>D58*'IB-IM et VP'!P3</f>
        <v>2021.6045499999998</v>
      </c>
      <c r="F58" s="145">
        <v>504</v>
      </c>
      <c r="G58" s="165"/>
      <c r="H58" s="227" t="s">
        <v>56</v>
      </c>
      <c r="I58" s="167">
        <f t="shared" si="2"/>
        <v>3</v>
      </c>
      <c r="J58" s="197">
        <v>4</v>
      </c>
      <c r="K58" s="145" t="s">
        <v>45</v>
      </c>
      <c r="L58" s="145">
        <f>LOOKUP(N58,'IB-IM et VP'!A:A,'IB-IM et VP'!C:C)</f>
        <v>437</v>
      </c>
      <c r="M58" s="146">
        <f>L58*'IB-IM et VP'!P3</f>
        <v>2035.5787749999997</v>
      </c>
      <c r="N58" s="145">
        <v>508</v>
      </c>
      <c r="P58" s="198">
        <f>M1</f>
        <v>41315</v>
      </c>
    </row>
    <row r="59" spans="2:16" ht="21" x14ac:dyDescent="0.25">
      <c r="B59" s="197">
        <v>6</v>
      </c>
      <c r="C59" s="134" t="s">
        <v>45</v>
      </c>
      <c r="D59" s="145">
        <f>LOOKUP(F59,'IB-IM et VP'!A:A,'IB-IM et VP'!C:C)</f>
        <v>455</v>
      </c>
      <c r="E59" s="146">
        <f>D59*'IB-IM et VP'!P3</f>
        <v>2119.4241249999995</v>
      </c>
      <c r="F59" s="145">
        <v>532</v>
      </c>
      <c r="G59" s="165"/>
      <c r="H59" s="227" t="s">
        <v>56</v>
      </c>
      <c r="I59" s="167">
        <f t="shared" si="2"/>
        <v>5</v>
      </c>
      <c r="J59" s="197">
        <v>5</v>
      </c>
      <c r="K59" s="145" t="s">
        <v>45</v>
      </c>
      <c r="L59" s="145">
        <f>LOOKUP(N59,'IB-IM et VP'!A:A,'IB-IM et VP'!C:C)</f>
        <v>460</v>
      </c>
      <c r="M59" s="146">
        <f>L59*'IB-IM et VP'!P3</f>
        <v>2142.7144999999996</v>
      </c>
      <c r="N59" s="145">
        <v>541</v>
      </c>
      <c r="O59" s="211"/>
      <c r="P59" s="195">
        <f>M1</f>
        <v>41315</v>
      </c>
    </row>
    <row r="60" spans="2:16" ht="21" x14ac:dyDescent="0.25">
      <c r="B60" s="210">
        <v>7</v>
      </c>
      <c r="C60" s="134" t="s">
        <v>46</v>
      </c>
      <c r="D60" s="145">
        <f>LOOKUP(F60,'IB-IM et VP'!A:A,'IB-IM et VP'!C:C)</f>
        <v>477</v>
      </c>
      <c r="E60" s="146">
        <f>D60*'IB-IM et VP'!P3</f>
        <v>2221.9017749999998</v>
      </c>
      <c r="F60" s="134">
        <v>563</v>
      </c>
      <c r="G60" s="165"/>
      <c r="H60" s="227" t="s">
        <v>56</v>
      </c>
      <c r="I60" s="167">
        <f t="shared" si="2"/>
        <v>3</v>
      </c>
      <c r="J60" s="197">
        <v>6</v>
      </c>
      <c r="K60" s="134" t="s">
        <v>46</v>
      </c>
      <c r="L60" s="145">
        <f>LOOKUP(N60,'IB-IM et VP'!A:A,'IB-IM et VP'!C:C)</f>
        <v>480</v>
      </c>
      <c r="M60" s="146">
        <f>L60*'IB-IM et VP'!P3</f>
        <v>2235.8759999999997</v>
      </c>
      <c r="N60" s="145">
        <v>567</v>
      </c>
      <c r="P60" s="198">
        <f>M1</f>
        <v>41315</v>
      </c>
    </row>
    <row r="61" spans="2:16" ht="21" x14ac:dyDescent="0.25">
      <c r="B61" s="210">
        <v>8</v>
      </c>
      <c r="C61" s="134" t="s">
        <v>46</v>
      </c>
      <c r="D61" s="145">
        <f>LOOKUP(F61,'IB-IM et VP'!A:A,'IB-IM et VP'!C:C)</f>
        <v>500</v>
      </c>
      <c r="E61" s="146">
        <f>D61*'IB-IM et VP'!P3</f>
        <v>2329.0374999999995</v>
      </c>
      <c r="F61" s="134">
        <v>593</v>
      </c>
      <c r="G61" s="165"/>
      <c r="H61" s="227" t="s">
        <v>56</v>
      </c>
      <c r="I61" s="167">
        <f t="shared" si="2"/>
        <v>4</v>
      </c>
      <c r="J61" s="210">
        <v>7</v>
      </c>
      <c r="K61" s="134" t="s">
        <v>46</v>
      </c>
      <c r="L61" s="145">
        <f>LOOKUP(N61,'IB-IM et VP'!A:A,'IB-IM et VP'!C:C)</f>
        <v>504</v>
      </c>
      <c r="M61" s="146">
        <f>L61*'IB-IM et VP'!P3</f>
        <v>2347.6697999999997</v>
      </c>
      <c r="N61" s="134">
        <v>599</v>
      </c>
      <c r="O61" s="211"/>
      <c r="P61" s="195">
        <f>M1</f>
        <v>41315</v>
      </c>
    </row>
    <row r="62" spans="2:16" ht="21" x14ac:dyDescent="0.25">
      <c r="B62" s="210">
        <v>9</v>
      </c>
      <c r="C62" s="134" t="s">
        <v>46</v>
      </c>
      <c r="D62" s="145">
        <f>LOOKUP(F62,'IB-IM et VP'!A:A,'IB-IM et VP'!C:C)</f>
        <v>525</v>
      </c>
      <c r="E62" s="146">
        <f>D62*'IB-IM et VP'!P3</f>
        <v>2445.4893749999997</v>
      </c>
      <c r="F62" s="134">
        <v>626</v>
      </c>
      <c r="G62" s="165"/>
      <c r="H62" s="227" t="s">
        <v>56</v>
      </c>
      <c r="I62" s="167">
        <f t="shared" si="2"/>
        <v>4</v>
      </c>
      <c r="J62" s="210">
        <v>8</v>
      </c>
      <c r="K62" s="134" t="s">
        <v>46</v>
      </c>
      <c r="L62" s="145">
        <f>LOOKUP(N62,'IB-IM et VP'!A:A,'IB-IM et VP'!C:C)</f>
        <v>529</v>
      </c>
      <c r="M62" s="146">
        <f>L62*'IB-IM et VP'!P3</f>
        <v>2464.1216749999994</v>
      </c>
      <c r="N62" s="134">
        <v>631</v>
      </c>
      <c r="P62" s="198">
        <f>M1</f>
        <v>41315</v>
      </c>
    </row>
    <row r="63" spans="2:16" ht="21" x14ac:dyDescent="0.25">
      <c r="B63" s="210">
        <v>10</v>
      </c>
      <c r="C63" s="134" t="s">
        <v>46</v>
      </c>
      <c r="D63" s="145">
        <f>LOOKUP(F63,'IB-IM et VP'!A:A,'IB-IM et VP'!C:C)</f>
        <v>546</v>
      </c>
      <c r="E63" s="146">
        <f>D63*'IB-IM et VP'!P3</f>
        <v>2543.3089499999996</v>
      </c>
      <c r="F63" s="134">
        <v>655</v>
      </c>
      <c r="G63" s="165"/>
      <c r="H63" s="227" t="s">
        <v>56</v>
      </c>
      <c r="I63" s="167">
        <f t="shared" si="2"/>
        <v>2</v>
      </c>
      <c r="J63" s="210">
        <v>9</v>
      </c>
      <c r="K63" s="134" t="s">
        <v>46</v>
      </c>
      <c r="L63" s="145">
        <f>LOOKUP(N63,'IB-IM et VP'!A:A,'IB-IM et VP'!C:C)</f>
        <v>548</v>
      </c>
      <c r="M63" s="146">
        <f>L63*'IB-IM et VP'!P3</f>
        <v>2552.6250999999997</v>
      </c>
      <c r="N63" s="134">
        <v>657</v>
      </c>
      <c r="O63" s="211"/>
      <c r="P63" s="195">
        <f>M1</f>
        <v>41315</v>
      </c>
    </row>
    <row r="64" spans="2:16" ht="21" x14ac:dyDescent="0.25">
      <c r="B64" s="412">
        <v>11</v>
      </c>
      <c r="C64" s="406"/>
      <c r="D64" s="408">
        <f>LOOKUP(F64,'IB-IM et VP'!A:A,'IB-IM et VP'!C:C)</f>
        <v>568</v>
      </c>
      <c r="E64" s="410">
        <f>D64*'IB-IM et VP'!P3</f>
        <v>2645.7865999999995</v>
      </c>
      <c r="F64" s="406">
        <v>683</v>
      </c>
      <c r="G64" s="168" t="s">
        <v>66</v>
      </c>
      <c r="H64" s="227" t="s">
        <v>56</v>
      </c>
      <c r="I64" s="167">
        <f t="shared" si="2"/>
        <v>1</v>
      </c>
      <c r="J64" s="210">
        <v>10</v>
      </c>
      <c r="K64" s="134" t="s">
        <v>46</v>
      </c>
      <c r="L64" s="145">
        <f>LOOKUP(N64,'IB-IM et VP'!A:A,'IB-IM et VP'!C:C)</f>
        <v>569</v>
      </c>
      <c r="M64" s="146">
        <f>L64*'IB-IM et VP'!P3</f>
        <v>2650.4446749999997</v>
      </c>
      <c r="N64" s="134">
        <v>684</v>
      </c>
      <c r="P64" s="198">
        <f>M1</f>
        <v>41315</v>
      </c>
    </row>
    <row r="65" spans="1:41" ht="21" x14ac:dyDescent="0.25">
      <c r="B65" s="413"/>
      <c r="C65" s="407"/>
      <c r="D65" s="414"/>
      <c r="E65" s="411"/>
      <c r="F65" s="407"/>
      <c r="G65" s="168" t="s">
        <v>67</v>
      </c>
      <c r="H65" s="227" t="s">
        <v>57</v>
      </c>
      <c r="I65" s="167">
        <f>L65-D64</f>
        <v>14</v>
      </c>
      <c r="J65" s="210">
        <v>11</v>
      </c>
      <c r="K65" s="134"/>
      <c r="L65" s="145">
        <f>LOOKUP(N65,'IB-IM et VP'!A:A,'IB-IM et VP'!C:C)</f>
        <v>582</v>
      </c>
      <c r="M65" s="146">
        <f>L65*'IB-IM et VP'!P3</f>
        <v>2710.9996499999997</v>
      </c>
      <c r="N65" s="134">
        <v>701</v>
      </c>
      <c r="O65" s="211"/>
      <c r="P65" s="195">
        <f>A71</f>
        <v>42736</v>
      </c>
    </row>
    <row r="66" spans="1:41" x14ac:dyDescent="0.25"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</row>
    <row r="67" spans="1:41" x14ac:dyDescent="0.25"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</row>
    <row r="68" spans="1:41" x14ac:dyDescent="0.25"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</row>
    <row r="69" spans="1:41" x14ac:dyDescent="0.25"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</row>
    <row r="70" spans="1:41" customFormat="1" ht="15.75" hidden="1" thickBot="1" x14ac:dyDescent="0.3">
      <c r="AE70" s="101"/>
    </row>
    <row r="71" spans="1:41" s="40" customFormat="1" ht="15" hidden="1" customHeight="1" thickBot="1" x14ac:dyDescent="0.3">
      <c r="A71" s="377">
        <v>42736</v>
      </c>
      <c r="B71" s="378"/>
      <c r="C71" s="379"/>
      <c r="D71" s="380"/>
      <c r="E71" s="42"/>
      <c r="F71" s="43"/>
      <c r="G71" s="43"/>
      <c r="H71" s="381" t="s">
        <v>75</v>
      </c>
      <c r="I71" s="382"/>
      <c r="J71" s="382"/>
      <c r="K71" s="383"/>
      <c r="L71" s="44"/>
      <c r="M71" s="45"/>
      <c r="N71" s="384" t="s">
        <v>76</v>
      </c>
      <c r="O71" s="385"/>
      <c r="P71" s="385"/>
      <c r="Q71" s="386"/>
      <c r="R71" s="44"/>
      <c r="S71" s="45"/>
      <c r="T71" s="384" t="s">
        <v>77</v>
      </c>
      <c r="U71" s="385"/>
      <c r="V71" s="385"/>
      <c r="W71" s="386"/>
      <c r="X71" s="46"/>
      <c r="Y71" s="45"/>
      <c r="Z71" s="384" t="s">
        <v>78</v>
      </c>
      <c r="AA71" s="385"/>
      <c r="AB71" s="385"/>
      <c r="AC71" s="386"/>
      <c r="AE71" s="102"/>
      <c r="AF71" s="384" t="s">
        <v>138</v>
      </c>
      <c r="AG71" s="385"/>
      <c r="AH71" s="385"/>
      <c r="AI71" s="386"/>
      <c r="AK71" s="102"/>
      <c r="AL71" s="384" t="s">
        <v>167</v>
      </c>
      <c r="AM71" s="385"/>
      <c r="AN71" s="385"/>
      <c r="AO71" s="386"/>
    </row>
    <row r="72" spans="1:41" customFormat="1" ht="45.75" hidden="1" thickBot="1" x14ac:dyDescent="0.3">
      <c r="A72" s="74"/>
      <c r="B72" s="47"/>
      <c r="C72" s="48" t="s">
        <v>79</v>
      </c>
      <c r="D72" s="49" t="s">
        <v>80</v>
      </c>
      <c r="E72" s="49"/>
      <c r="F72" s="49"/>
      <c r="G72" s="49"/>
      <c r="H72" s="50" t="s">
        <v>81</v>
      </c>
      <c r="I72" s="51" t="s">
        <v>82</v>
      </c>
      <c r="J72" s="51" t="s">
        <v>83</v>
      </c>
      <c r="K72" s="52" t="s">
        <v>84</v>
      </c>
      <c r="L72" s="53"/>
      <c r="M72" s="54"/>
      <c r="N72" s="50" t="s">
        <v>81</v>
      </c>
      <c r="O72" s="51" t="s">
        <v>82</v>
      </c>
      <c r="P72" s="51" t="s">
        <v>83</v>
      </c>
      <c r="Q72" s="55" t="s">
        <v>84</v>
      </c>
      <c r="R72" s="53"/>
      <c r="S72" s="54"/>
      <c r="T72" s="50" t="s">
        <v>81</v>
      </c>
      <c r="U72" s="51" t="s">
        <v>82</v>
      </c>
      <c r="V72" s="51" t="s">
        <v>83</v>
      </c>
      <c r="W72" s="55" t="s">
        <v>84</v>
      </c>
      <c r="X72" s="56"/>
      <c r="Y72" s="57"/>
      <c r="Z72" s="50" t="s">
        <v>81</v>
      </c>
      <c r="AA72" s="51" t="s">
        <v>82</v>
      </c>
      <c r="AB72" s="51" t="s">
        <v>83</v>
      </c>
      <c r="AC72" s="55" t="s">
        <v>84</v>
      </c>
      <c r="AE72" s="103"/>
      <c r="AF72" s="50" t="s">
        <v>81</v>
      </c>
      <c r="AG72" s="51" t="s">
        <v>82</v>
      </c>
      <c r="AH72" s="51" t="s">
        <v>83</v>
      </c>
      <c r="AI72" s="55" t="s">
        <v>84</v>
      </c>
      <c r="AK72" s="103"/>
      <c r="AL72" s="50" t="s">
        <v>81</v>
      </c>
      <c r="AM72" s="51" t="s">
        <v>82</v>
      </c>
      <c r="AN72" s="51" t="s">
        <v>83</v>
      </c>
      <c r="AO72" s="55" t="s">
        <v>84</v>
      </c>
    </row>
    <row r="73" spans="1:41" customFormat="1" ht="16.5" hidden="1" thickTop="1" thickBot="1" x14ac:dyDescent="0.3">
      <c r="H73" s="12"/>
      <c r="I73" s="12"/>
      <c r="J73" s="12"/>
      <c r="K73" s="12"/>
      <c r="N73" s="12"/>
      <c r="O73" s="12"/>
      <c r="P73" s="12"/>
      <c r="Q73" s="12"/>
      <c r="T73" s="12"/>
      <c r="U73" s="12"/>
      <c r="V73" s="12"/>
      <c r="W73" s="12"/>
      <c r="Z73" s="12"/>
      <c r="AA73" s="12"/>
      <c r="AB73" s="12"/>
      <c r="AC73" s="12"/>
      <c r="AE73" s="101"/>
      <c r="AF73" s="12"/>
      <c r="AG73" s="12"/>
      <c r="AH73" s="12"/>
      <c r="AI73" s="12"/>
      <c r="AK73" s="101"/>
      <c r="AL73" s="12"/>
      <c r="AM73" s="12"/>
      <c r="AN73" s="12"/>
      <c r="AO73" s="12"/>
    </row>
    <row r="74" spans="1:41" customFormat="1" ht="16.5" hidden="1" thickTop="1" thickBot="1" x14ac:dyDescent="0.3">
      <c r="A74" s="121"/>
      <c r="B74" s="41">
        <f>A71</f>
        <v>42736</v>
      </c>
      <c r="C74" s="58">
        <f>M1</f>
        <v>41315</v>
      </c>
      <c r="D74" s="59">
        <f>E74/30.5</f>
        <v>46.590163934426229</v>
      </c>
      <c r="E74" s="60">
        <f>B74-C74</f>
        <v>1421</v>
      </c>
      <c r="F74" s="61"/>
      <c r="G74" s="61">
        <f>E74*1/2</f>
        <v>710.5</v>
      </c>
      <c r="H74" s="62">
        <f>INT(D74*1/2/12)</f>
        <v>1</v>
      </c>
      <c r="I74" s="63">
        <f>INT(D74*1/2-(H74*12))</f>
        <v>11</v>
      </c>
      <c r="J74" s="64">
        <f>ROUND((D74*1/2-(H74*12)-I74)*30,0)</f>
        <v>9</v>
      </c>
      <c r="K74" s="86">
        <f>B74-G74</f>
        <v>42025.5</v>
      </c>
      <c r="L74" s="65"/>
      <c r="M74" s="66">
        <f>E74*3/4</f>
        <v>1065.75</v>
      </c>
      <c r="N74" s="62">
        <f>INT(D74*3/4/12)</f>
        <v>2</v>
      </c>
      <c r="O74" s="63">
        <f>INT(D74*3/4-(N74*12))</f>
        <v>10</v>
      </c>
      <c r="P74" s="64">
        <f>ROUND((D74*3/4-(N74*12)-O74)*30,0)</f>
        <v>28</v>
      </c>
      <c r="Q74" s="87">
        <f>B74-M74</f>
        <v>41670.25</v>
      </c>
      <c r="R74" s="65"/>
      <c r="S74" s="61">
        <f>E74*2/3</f>
        <v>947.33333333333337</v>
      </c>
      <c r="T74" s="62">
        <f>INT(D74*2/3/12)</f>
        <v>2</v>
      </c>
      <c r="U74" s="63">
        <f>INT(D74*2/3-(T74*12))</f>
        <v>7</v>
      </c>
      <c r="V74" s="64">
        <f>ROUND((D74*2/3-(T74*12)-U74)*30,0)</f>
        <v>2</v>
      </c>
      <c r="W74" s="87">
        <f>B74-S74</f>
        <v>41788.666666666664</v>
      </c>
      <c r="X74" s="67"/>
      <c r="Y74" s="66">
        <f>E74*4/3</f>
        <v>1894.6666666666667</v>
      </c>
      <c r="Z74" s="62">
        <f>INT(D74*4/3/12)</f>
        <v>5</v>
      </c>
      <c r="AA74" s="63">
        <f>INT(D74*4/3-(Z74*12))</f>
        <v>2</v>
      </c>
      <c r="AB74" s="64">
        <f>ROUND((D74*4/3-(Z74*12)-AA74)*30,0)</f>
        <v>4</v>
      </c>
      <c r="AC74" s="87">
        <f>B74-Y74</f>
        <v>40841.333333333336</v>
      </c>
      <c r="AE74" s="100">
        <f>E74*2</f>
        <v>2842</v>
      </c>
      <c r="AF74" s="62">
        <f>INT(J74*4/3/12)</f>
        <v>1</v>
      </c>
      <c r="AG74" s="63">
        <f>INT(J74*4/3-(AF74*12))</f>
        <v>0</v>
      </c>
      <c r="AH74" s="64">
        <f>ROUND((J74*4/3-(AF74*12)-AG74)*30,0)</f>
        <v>0</v>
      </c>
      <c r="AI74" s="87">
        <f>C74-AE74</f>
        <v>38473</v>
      </c>
      <c r="AK74" s="100">
        <f>E74*3</f>
        <v>4263</v>
      </c>
      <c r="AL74" s="62">
        <f>INT(P74*4/3/12)</f>
        <v>3</v>
      </c>
      <c r="AM74" s="63">
        <f>INT(P74*4/3-(AL74*12))</f>
        <v>1</v>
      </c>
      <c r="AN74" s="64">
        <f>ROUND((P74*4/3-(AL74*12)-AM74)*30,0)</f>
        <v>10</v>
      </c>
      <c r="AO74" s="87">
        <f>C74-AK74</f>
        <v>37052</v>
      </c>
    </row>
    <row r="75" spans="1:41" customFormat="1" hidden="1" x14ac:dyDescent="0.25">
      <c r="B75" s="41"/>
      <c r="C75" s="75"/>
      <c r="D75" s="76"/>
      <c r="E75" s="60"/>
      <c r="F75" s="61"/>
      <c r="G75" s="61"/>
      <c r="H75" s="70"/>
      <c r="I75" s="70"/>
      <c r="J75" s="73"/>
      <c r="K75" s="77"/>
      <c r="L75" s="61"/>
      <c r="M75" s="66"/>
      <c r="N75" s="70"/>
      <c r="O75" s="70"/>
      <c r="P75" s="73"/>
      <c r="Q75" s="67"/>
      <c r="R75" s="61"/>
      <c r="S75" s="61"/>
      <c r="T75" s="70"/>
      <c r="U75" s="70"/>
      <c r="V75" s="73"/>
      <c r="W75" s="67"/>
      <c r="X75" s="67"/>
      <c r="Y75" s="66"/>
      <c r="Z75" s="70"/>
      <c r="AA75" s="70"/>
      <c r="AB75" s="73"/>
      <c r="AC75" s="67"/>
      <c r="AE75" s="101"/>
    </row>
    <row r="76" spans="1:41" customFormat="1" ht="15.75" hidden="1" thickBot="1" x14ac:dyDescent="0.3">
      <c r="F76" s="12"/>
      <c r="AE76" s="101"/>
    </row>
    <row r="77" spans="1:41" customFormat="1" ht="12.75" hidden="1" customHeight="1" x14ac:dyDescent="0.25">
      <c r="F77" s="12"/>
      <c r="H77" s="381" t="s">
        <v>85</v>
      </c>
      <c r="I77" s="382"/>
      <c r="J77" s="382"/>
      <c r="K77" s="383"/>
      <c r="N77" s="384" t="s">
        <v>90</v>
      </c>
      <c r="O77" s="385"/>
      <c r="P77" s="385"/>
      <c r="Q77" s="386"/>
      <c r="T77" s="384" t="s">
        <v>91</v>
      </c>
      <c r="U77" s="385"/>
      <c r="V77" s="385"/>
      <c r="W77" s="386"/>
      <c r="Z77" s="384" t="s">
        <v>132</v>
      </c>
      <c r="AA77" s="385"/>
      <c r="AB77" s="385"/>
      <c r="AC77" s="386"/>
      <c r="AE77" s="101"/>
      <c r="AF77" s="384" t="s">
        <v>141</v>
      </c>
      <c r="AG77" s="385"/>
      <c r="AH77" s="385"/>
      <c r="AI77" s="386"/>
    </row>
    <row r="78" spans="1:41" customFormat="1" ht="45.75" hidden="1" thickBot="1" x14ac:dyDescent="0.3">
      <c r="F78" s="12"/>
      <c r="H78" s="50" t="s">
        <v>81</v>
      </c>
      <c r="I78" s="51" t="s">
        <v>82</v>
      </c>
      <c r="J78" s="51" t="s">
        <v>83</v>
      </c>
      <c r="K78" s="55" t="s">
        <v>84</v>
      </c>
      <c r="N78" s="50" t="s">
        <v>81</v>
      </c>
      <c r="O78" s="51" t="s">
        <v>82</v>
      </c>
      <c r="P78" s="51" t="s">
        <v>83</v>
      </c>
      <c r="Q78" s="55" t="s">
        <v>84</v>
      </c>
      <c r="T78" s="50" t="s">
        <v>81</v>
      </c>
      <c r="U78" s="51" t="s">
        <v>82</v>
      </c>
      <c r="V78" s="51" t="s">
        <v>83</v>
      </c>
      <c r="W78" s="55" t="s">
        <v>84</v>
      </c>
      <c r="Z78" s="50" t="s">
        <v>81</v>
      </c>
      <c r="AA78" s="51" t="s">
        <v>82</v>
      </c>
      <c r="AB78" s="51" t="s">
        <v>83</v>
      </c>
      <c r="AC78" s="55" t="s">
        <v>84</v>
      </c>
      <c r="AE78" s="101"/>
      <c r="AF78" s="50" t="s">
        <v>81</v>
      </c>
      <c r="AG78" s="51" t="s">
        <v>82</v>
      </c>
      <c r="AH78" s="51" t="s">
        <v>83</v>
      </c>
      <c r="AI78" s="55" t="s">
        <v>84</v>
      </c>
    </row>
    <row r="79" spans="1:41" customFormat="1" ht="6" hidden="1" customHeight="1" thickBot="1" x14ac:dyDescent="0.3">
      <c r="F79" s="12"/>
      <c r="AE79" s="101"/>
    </row>
    <row r="80" spans="1:41" customFormat="1" ht="16.5" hidden="1" thickTop="1" thickBot="1" x14ac:dyDescent="0.3">
      <c r="A80" s="121"/>
      <c r="B80" s="41">
        <f>A71</f>
        <v>42736</v>
      </c>
      <c r="C80" s="58">
        <f>M1</f>
        <v>41315</v>
      </c>
      <c r="D80" s="59">
        <f>E80/30.5</f>
        <v>46.590163934426229</v>
      </c>
      <c r="E80" s="60">
        <f>B80-C80</f>
        <v>1421</v>
      </c>
      <c r="F80" s="61"/>
      <c r="G80" s="61">
        <f>E80*3/2</f>
        <v>2131.5</v>
      </c>
      <c r="H80" s="62">
        <f>INT(D80*3/2/12)</f>
        <v>5</v>
      </c>
      <c r="I80" s="63">
        <f>INT(D80*3/2-(H80*12))</f>
        <v>9</v>
      </c>
      <c r="J80" s="64">
        <f>ROUND((D80*3/2-(H80*12)-I80)*30,0)</f>
        <v>27</v>
      </c>
      <c r="K80" s="86">
        <f>B80-G80</f>
        <v>40604.5</v>
      </c>
      <c r="L80" s="65"/>
      <c r="M80" s="66">
        <f>E80*5/4</f>
        <v>1776.25</v>
      </c>
      <c r="N80" s="62">
        <f>INT(D80*5/4/12)</f>
        <v>4</v>
      </c>
      <c r="O80" s="63">
        <f>INT(D80*5/4-(N80*12))</f>
        <v>10</v>
      </c>
      <c r="P80" s="64">
        <f>ROUND((D80*5/4-(N80*12)-O80)*30,0)</f>
        <v>7</v>
      </c>
      <c r="Q80" s="87">
        <f>B80-M80</f>
        <v>40959.75</v>
      </c>
      <c r="R80" s="65"/>
      <c r="S80" s="61">
        <f>E80*5/6</f>
        <v>1184.1666666666667</v>
      </c>
      <c r="T80" s="62">
        <f>INT(D80*5/6/12)</f>
        <v>3</v>
      </c>
      <c r="U80" s="63">
        <f>INT(D80*5/6-(T80*12))</f>
        <v>2</v>
      </c>
      <c r="V80" s="64">
        <f>ROUND((D80*5/6-(T80*12)-U80)*30,0)</f>
        <v>25</v>
      </c>
      <c r="W80" s="87">
        <f>B80-S80</f>
        <v>41551.833333333336</v>
      </c>
      <c r="X80" s="67"/>
      <c r="Y80" s="66">
        <f>E80*7/6</f>
        <v>1657.8333333333333</v>
      </c>
      <c r="Z80" s="62">
        <f>INT(D80*7/6/12)</f>
        <v>4</v>
      </c>
      <c r="AA80" s="63">
        <f>INT(D80*7/6-(Z80*12))</f>
        <v>6</v>
      </c>
      <c r="AB80" s="64">
        <f>ROUND((D80*7/6-(Z80*12)-AA80)*30,0)</f>
        <v>11</v>
      </c>
      <c r="AC80" s="87">
        <f>B80-Y80</f>
        <v>41078.166666666664</v>
      </c>
      <c r="AE80" s="100">
        <f>E80*6/7</f>
        <v>1218</v>
      </c>
      <c r="AF80" s="62">
        <f>INT(J80*7/6/12)</f>
        <v>2</v>
      </c>
      <c r="AG80" s="63">
        <f>INT(J80*7/6-(AF80*12))</f>
        <v>7</v>
      </c>
      <c r="AH80" s="64">
        <f>ROUND((J80*7/6-(AF80*12)-AG80)*30,0)</f>
        <v>15</v>
      </c>
      <c r="AI80" s="87">
        <f>B80-AE80</f>
        <v>41518</v>
      </c>
    </row>
    <row r="81" spans="1:31" customFormat="1" hidden="1" x14ac:dyDescent="0.25">
      <c r="F81" s="12"/>
      <c r="AE81" s="101"/>
    </row>
    <row r="82" spans="1:31" customFormat="1" ht="15.75" hidden="1" thickBot="1" x14ac:dyDescent="0.3">
      <c r="F82" s="12"/>
      <c r="AE82" s="101"/>
    </row>
    <row r="83" spans="1:31" customFormat="1" ht="27.75" hidden="1" customHeight="1" x14ac:dyDescent="0.25">
      <c r="F83" s="12"/>
      <c r="H83" s="384" t="s">
        <v>92</v>
      </c>
      <c r="I83" s="385"/>
      <c r="J83" s="385"/>
      <c r="K83" s="386"/>
      <c r="N83" s="384" t="s">
        <v>93</v>
      </c>
      <c r="O83" s="385"/>
      <c r="P83" s="385"/>
      <c r="Q83" s="386"/>
      <c r="T83" s="384" t="s">
        <v>142</v>
      </c>
      <c r="U83" s="385"/>
      <c r="V83" s="385"/>
      <c r="W83" s="386"/>
      <c r="AE83" s="101"/>
    </row>
    <row r="84" spans="1:31" customFormat="1" ht="45.75" hidden="1" thickBot="1" x14ac:dyDescent="0.3">
      <c r="F84" s="12"/>
      <c r="H84" s="50" t="s">
        <v>81</v>
      </c>
      <c r="I84" s="51" t="s">
        <v>82</v>
      </c>
      <c r="J84" s="51" t="s">
        <v>83</v>
      </c>
      <c r="K84" s="55" t="s">
        <v>84</v>
      </c>
      <c r="N84" s="50" t="s">
        <v>81</v>
      </c>
      <c r="O84" s="51" t="s">
        <v>82</v>
      </c>
      <c r="P84" s="51" t="s">
        <v>83</v>
      </c>
      <c r="Q84" s="55" t="s">
        <v>84</v>
      </c>
      <c r="T84" s="50"/>
      <c r="U84" s="51"/>
      <c r="V84" s="51"/>
      <c r="W84" s="55"/>
      <c r="AE84" s="101"/>
    </row>
    <row r="85" spans="1:31" customFormat="1" ht="6" hidden="1" customHeight="1" thickBot="1" x14ac:dyDescent="0.3">
      <c r="F85" s="12"/>
      <c r="AE85" s="101"/>
    </row>
    <row r="86" spans="1:31" customFormat="1" ht="16.5" hidden="1" thickTop="1" thickBot="1" x14ac:dyDescent="0.3">
      <c r="A86" s="121"/>
      <c r="B86" s="41">
        <f>A71</f>
        <v>42736</v>
      </c>
      <c r="C86" s="58">
        <f>M1+(6*30.5)-1</f>
        <v>41497</v>
      </c>
      <c r="D86" s="59">
        <f>E86/30.5</f>
        <v>40.622950819672134</v>
      </c>
      <c r="E86" s="60">
        <f>B86-C86</f>
        <v>1239</v>
      </c>
      <c r="F86" s="61"/>
      <c r="G86" s="61">
        <f>E86*2/3</f>
        <v>826</v>
      </c>
      <c r="H86" s="62">
        <f>INT(D86*2/3/12)</f>
        <v>2</v>
      </c>
      <c r="I86" s="63">
        <f>INT(D86*2/3-(H86*12))</f>
        <v>3</v>
      </c>
      <c r="J86" s="64">
        <f>ROUND((D86*2/3-(H86*12)-I86)*30,0)</f>
        <v>2</v>
      </c>
      <c r="K86" s="86">
        <f>B86-G86</f>
        <v>41910</v>
      </c>
      <c r="L86" s="65"/>
      <c r="M86" s="66">
        <f>E86*4/3</f>
        <v>1652</v>
      </c>
      <c r="N86" s="62">
        <f>INT(D86*4/3/12)</f>
        <v>4</v>
      </c>
      <c r="O86" s="63">
        <f>INT(D86*4/3-(N86*12))</f>
        <v>6</v>
      </c>
      <c r="P86" s="64">
        <f>ROUND((D86*4/3-(N86*12)-O86)*30,0)</f>
        <v>5</v>
      </c>
      <c r="Q86" s="87">
        <f>B86-M86</f>
        <v>41084</v>
      </c>
      <c r="R86" s="61"/>
      <c r="S86" s="61">
        <f>E74*1/3</f>
        <v>473.66666666666669</v>
      </c>
      <c r="T86" s="62">
        <f>INT(D74*1/3/12)</f>
        <v>1</v>
      </c>
      <c r="U86" s="63">
        <f>INT(D74*1/3-(T86*12))</f>
        <v>3</v>
      </c>
      <c r="V86" s="64">
        <f>ROUND((D74*1/3-(T86*12)-U86)*30,0)</f>
        <v>16</v>
      </c>
      <c r="W86" s="87">
        <f>B74-S86</f>
        <v>42262.333333333336</v>
      </c>
      <c r="X86" s="67"/>
      <c r="Y86" s="66"/>
      <c r="Z86" s="70"/>
      <c r="AA86" s="70"/>
      <c r="AB86" s="73"/>
      <c r="AC86" s="67"/>
      <c r="AE86" s="101"/>
    </row>
    <row r="87" spans="1:31" customFormat="1" hidden="1" x14ac:dyDescent="0.25">
      <c r="F87" s="12"/>
      <c r="AE87" s="101"/>
    </row>
    <row r="88" spans="1:31" customFormat="1" ht="15.75" hidden="1" thickBot="1" x14ac:dyDescent="0.3">
      <c r="F88" s="12"/>
      <c r="AE88" s="101"/>
    </row>
    <row r="89" spans="1:31" customFormat="1" ht="27.75" hidden="1" customHeight="1" x14ac:dyDescent="0.25">
      <c r="F89" s="12"/>
      <c r="H89" s="384" t="s">
        <v>139</v>
      </c>
      <c r="I89" s="385"/>
      <c r="J89" s="385"/>
      <c r="K89" s="386"/>
      <c r="AE89" s="101"/>
    </row>
    <row r="90" spans="1:31" customFormat="1" ht="45.75" hidden="1" thickBot="1" x14ac:dyDescent="0.3">
      <c r="F90" s="12"/>
      <c r="H90" s="50" t="s">
        <v>81</v>
      </c>
      <c r="I90" s="51" t="s">
        <v>82</v>
      </c>
      <c r="J90" s="51" t="s">
        <v>83</v>
      </c>
      <c r="K90" s="55" t="s">
        <v>84</v>
      </c>
      <c r="AE90" s="101"/>
    </row>
    <row r="91" spans="1:31" customFormat="1" ht="15.75" hidden="1" thickBot="1" x14ac:dyDescent="0.3">
      <c r="F91" s="12"/>
      <c r="AE91" s="101"/>
    </row>
    <row r="92" spans="1:31" customFormat="1" ht="16.5" hidden="1" thickTop="1" thickBot="1" x14ac:dyDescent="0.3">
      <c r="B92" s="41">
        <f>A71</f>
        <v>42736</v>
      </c>
      <c r="C92" s="58">
        <f>M1+(12*30.5)-1</f>
        <v>41680</v>
      </c>
      <c r="D92" s="59">
        <f>E92/30.5</f>
        <v>34.622950819672134</v>
      </c>
      <c r="E92" s="60">
        <f>B92-C92</f>
        <v>1056</v>
      </c>
      <c r="F92" s="12"/>
      <c r="G92" s="68">
        <f>E92</f>
        <v>1056</v>
      </c>
      <c r="H92" s="62">
        <f>INT(D92*2/3/12)</f>
        <v>1</v>
      </c>
      <c r="I92" s="63">
        <f>INT(D92*2/3-(H92*12))</f>
        <v>11</v>
      </c>
      <c r="J92" s="64">
        <f>ROUND((D92*2/3-(H92*12)-I92)*30,0)</f>
        <v>2</v>
      </c>
      <c r="K92" s="86">
        <f>B92-G92</f>
        <v>41680</v>
      </c>
      <c r="AE92" s="101"/>
    </row>
    <row r="93" spans="1:31" customFormat="1" hidden="1" x14ac:dyDescent="0.25">
      <c r="F93" s="12"/>
      <c r="AE93" s="101"/>
    </row>
    <row r="94" spans="1:31" customFormat="1" ht="15.75" hidden="1" thickBot="1" x14ac:dyDescent="0.3">
      <c r="F94" s="12"/>
      <c r="AE94" s="101"/>
    </row>
    <row r="95" spans="1:31" customFormat="1" ht="27.75" hidden="1" customHeight="1" x14ac:dyDescent="0.25">
      <c r="F95" s="12"/>
      <c r="H95" s="384" t="s">
        <v>94</v>
      </c>
      <c r="I95" s="385"/>
      <c r="J95" s="385"/>
      <c r="K95" s="386"/>
      <c r="N95" s="384" t="s">
        <v>95</v>
      </c>
      <c r="O95" s="385"/>
      <c r="P95" s="385"/>
      <c r="Q95" s="386"/>
      <c r="AE95" s="101"/>
    </row>
    <row r="96" spans="1:31" customFormat="1" ht="45.75" hidden="1" thickBot="1" x14ac:dyDescent="0.3">
      <c r="F96" s="12"/>
      <c r="H96" s="50" t="s">
        <v>81</v>
      </c>
      <c r="I96" s="51" t="s">
        <v>82</v>
      </c>
      <c r="J96" s="51" t="s">
        <v>83</v>
      </c>
      <c r="K96" s="55" t="s">
        <v>84</v>
      </c>
      <c r="N96" s="50" t="s">
        <v>81</v>
      </c>
      <c r="O96" s="51" t="s">
        <v>82</v>
      </c>
      <c r="P96" s="51" t="s">
        <v>83</v>
      </c>
      <c r="Q96" s="55" t="s">
        <v>84</v>
      </c>
      <c r="AE96" s="101"/>
    </row>
    <row r="97" spans="1:31" customFormat="1" ht="6" hidden="1" customHeight="1" thickBot="1" x14ac:dyDescent="0.3">
      <c r="F97" s="12"/>
      <c r="AE97" s="101"/>
    </row>
    <row r="98" spans="1:31" customFormat="1" ht="16.5" hidden="1" thickTop="1" thickBot="1" x14ac:dyDescent="0.3">
      <c r="A98" s="121"/>
      <c r="B98" s="41">
        <f>A71</f>
        <v>42736</v>
      </c>
      <c r="C98" s="58">
        <f>M1+(18*30.5)-1</f>
        <v>41863</v>
      </c>
      <c r="D98" s="59">
        <f>E98/30.5</f>
        <v>28.622950819672131</v>
      </c>
      <c r="E98" s="60">
        <f>B98-C98</f>
        <v>873</v>
      </c>
      <c r="F98" s="61"/>
      <c r="G98" s="61">
        <f>E98*5/3</f>
        <v>1455</v>
      </c>
      <c r="H98" s="62">
        <f>INT(D98*5/3/12)</f>
        <v>3</v>
      </c>
      <c r="I98" s="63">
        <f>INT(D98*5/3-(H98*12))</f>
        <v>11</v>
      </c>
      <c r="J98" s="64">
        <f>ROUND((D98*5/3-(H98*12)-I98)*30,0)</f>
        <v>21</v>
      </c>
      <c r="K98" s="86">
        <f>B98-G98</f>
        <v>41281</v>
      </c>
      <c r="L98" s="65"/>
      <c r="M98" s="66">
        <f>E98*8/3</f>
        <v>2328</v>
      </c>
      <c r="N98" s="62">
        <f>INT(D98*8/3/12)</f>
        <v>6</v>
      </c>
      <c r="O98" s="63">
        <f>INT(D98*8/3-(N98*12))</f>
        <v>4</v>
      </c>
      <c r="P98" s="64">
        <f>ROUND((D98*8/3-(N98*12)-O98)*30,0)</f>
        <v>10</v>
      </c>
      <c r="Q98" s="87">
        <f>B98-M98</f>
        <v>40408</v>
      </c>
      <c r="R98" s="61"/>
      <c r="S98" s="61"/>
      <c r="T98" s="70"/>
      <c r="U98" s="70"/>
      <c r="V98" s="73"/>
      <c r="W98" s="67"/>
      <c r="X98" s="67"/>
      <c r="Y98" s="66"/>
      <c r="Z98" s="70"/>
      <c r="AA98" s="70"/>
      <c r="AB98" s="73"/>
      <c r="AC98" s="67"/>
      <c r="AE98" s="101"/>
    </row>
    <row r="99" spans="1:31" customFormat="1" hidden="1" x14ac:dyDescent="0.25">
      <c r="F99" s="12"/>
      <c r="AE99" s="101"/>
    </row>
    <row r="100" spans="1:31" customFormat="1" ht="15.75" hidden="1" thickBot="1" x14ac:dyDescent="0.3">
      <c r="F100" s="12"/>
      <c r="AE100" s="101"/>
    </row>
    <row r="101" spans="1:31" customFormat="1" ht="27.75" hidden="1" customHeight="1" x14ac:dyDescent="0.25">
      <c r="F101" s="12"/>
      <c r="H101" s="384" t="s">
        <v>96</v>
      </c>
      <c r="I101" s="385"/>
      <c r="J101" s="385"/>
      <c r="K101" s="386"/>
      <c r="N101" s="384" t="s">
        <v>140</v>
      </c>
      <c r="O101" s="385"/>
      <c r="P101" s="385"/>
      <c r="Q101" s="386"/>
      <c r="AE101" s="101"/>
    </row>
    <row r="102" spans="1:31" customFormat="1" ht="45.75" hidden="1" thickBot="1" x14ac:dyDescent="0.3">
      <c r="F102" s="12"/>
      <c r="H102" s="50" t="s">
        <v>81</v>
      </c>
      <c r="I102" s="51" t="s">
        <v>82</v>
      </c>
      <c r="J102" s="51" t="s">
        <v>83</v>
      </c>
      <c r="K102" s="55" t="s">
        <v>84</v>
      </c>
      <c r="N102" s="50" t="s">
        <v>81</v>
      </c>
      <c r="O102" s="51" t="s">
        <v>82</v>
      </c>
      <c r="P102" s="51" t="s">
        <v>83</v>
      </c>
      <c r="Q102" s="55" t="s">
        <v>84</v>
      </c>
      <c r="AE102" s="101"/>
    </row>
    <row r="103" spans="1:31" customFormat="1" ht="6" hidden="1" customHeight="1" thickBot="1" x14ac:dyDescent="0.3">
      <c r="F103" s="12"/>
      <c r="AE103" s="101"/>
    </row>
    <row r="104" spans="1:31" customFormat="1" ht="16.5" hidden="1" thickTop="1" thickBot="1" x14ac:dyDescent="0.3">
      <c r="A104" s="121"/>
      <c r="B104" s="41">
        <f>A71</f>
        <v>42736</v>
      </c>
      <c r="C104" s="58">
        <f>M1+(24*30.5)-1</f>
        <v>42046</v>
      </c>
      <c r="D104" s="59">
        <f>E104/30.5</f>
        <v>22.622950819672131</v>
      </c>
      <c r="E104" s="60">
        <f>B104-C104</f>
        <v>690</v>
      </c>
      <c r="F104" s="61"/>
      <c r="G104" s="61">
        <f>E104*5/4</f>
        <v>862.5</v>
      </c>
      <c r="H104" s="62">
        <f>INT(D104*5/4/12)</f>
        <v>2</v>
      </c>
      <c r="I104" s="63">
        <f>INT(D104*5/4-(H104*12))</f>
        <v>4</v>
      </c>
      <c r="J104" s="64">
        <f>ROUND((D104*5/4-(H104*12)-I104)*30,0)</f>
        <v>8</v>
      </c>
      <c r="K104" s="86">
        <f>B104-G104</f>
        <v>41873.5</v>
      </c>
      <c r="L104" s="61"/>
      <c r="M104" s="68">
        <f>E104</f>
        <v>690</v>
      </c>
      <c r="N104" s="62">
        <f>INT(J104/12)</f>
        <v>0</v>
      </c>
      <c r="O104" s="63">
        <f>INT(J104-(N104*12))</f>
        <v>8</v>
      </c>
      <c r="P104" s="64">
        <f>ROUND((J104-(N104*12)-O104)*30,0)</f>
        <v>0</v>
      </c>
      <c r="Q104" s="86">
        <f>B104-M104</f>
        <v>42046</v>
      </c>
      <c r="R104" s="61"/>
      <c r="S104" s="61"/>
      <c r="T104" s="70"/>
      <c r="U104" s="70"/>
      <c r="V104" s="73"/>
      <c r="W104" s="67"/>
      <c r="X104" s="67"/>
      <c r="Y104" s="66"/>
      <c r="Z104" s="70"/>
      <c r="AA104" s="70"/>
      <c r="AB104" s="73"/>
      <c r="AC104" s="67"/>
      <c r="AE104" s="101"/>
    </row>
    <row r="105" spans="1:31" customFormat="1" hidden="1" x14ac:dyDescent="0.25">
      <c r="F105" s="12"/>
      <c r="AE105" s="101"/>
    </row>
    <row r="106" spans="1:31" customFormat="1" ht="15.75" hidden="1" thickBot="1" x14ac:dyDescent="0.3">
      <c r="AE106" s="101"/>
    </row>
    <row r="107" spans="1:31" customFormat="1" ht="27.75" hidden="1" customHeight="1" x14ac:dyDescent="0.25">
      <c r="F107" s="12"/>
      <c r="H107" s="384" t="s">
        <v>164</v>
      </c>
      <c r="I107" s="385"/>
      <c r="J107" s="385"/>
      <c r="K107" s="386"/>
      <c r="AE107" s="101"/>
    </row>
    <row r="108" spans="1:31" customFormat="1" ht="45.75" hidden="1" thickBot="1" x14ac:dyDescent="0.3">
      <c r="F108" s="12"/>
      <c r="H108" s="50" t="s">
        <v>81</v>
      </c>
      <c r="I108" s="51" t="s">
        <v>82</v>
      </c>
      <c r="J108" s="51" t="s">
        <v>83</v>
      </c>
      <c r="K108" s="55" t="s">
        <v>84</v>
      </c>
      <c r="AE108" s="101"/>
    </row>
    <row r="109" spans="1:31" customFormat="1" ht="15.75" hidden="1" thickBot="1" x14ac:dyDescent="0.3">
      <c r="F109" s="12"/>
      <c r="AE109" s="101"/>
    </row>
    <row r="110" spans="1:31" customFormat="1" ht="16.5" hidden="1" thickTop="1" thickBot="1" x14ac:dyDescent="0.3">
      <c r="B110" s="41">
        <f>A71</f>
        <v>42736</v>
      </c>
      <c r="C110" s="58">
        <f>M1+(36*30.5)-1</f>
        <v>42412</v>
      </c>
      <c r="D110" s="59">
        <f>E110/30.5</f>
        <v>10.622950819672131</v>
      </c>
      <c r="E110" s="60">
        <f>B110-C110</f>
        <v>324</v>
      </c>
      <c r="F110" s="61"/>
      <c r="G110" s="61">
        <f>E110*3</f>
        <v>972</v>
      </c>
      <c r="H110" s="62">
        <f>INT(D110*5/4/12)</f>
        <v>1</v>
      </c>
      <c r="I110" s="63">
        <f>INT(D110*5/4-(H110*12))</f>
        <v>1</v>
      </c>
      <c r="J110" s="64">
        <f>ROUND((D110*5/4-(H110*12)-I110)*30,0)</f>
        <v>8</v>
      </c>
      <c r="K110" s="86">
        <f>B110-G110</f>
        <v>41764</v>
      </c>
      <c r="AE110" s="101"/>
    </row>
    <row r="111" spans="1:31" customFormat="1" hidden="1" x14ac:dyDescent="0.25">
      <c r="AE111" s="101"/>
    </row>
  </sheetData>
  <sheetProtection password="EB30" sheet="1" objects="1" scenarios="1" selectLockedCells="1"/>
  <mergeCells count="50">
    <mergeCell ref="T83:W83"/>
    <mergeCell ref="H89:K89"/>
    <mergeCell ref="H95:K95"/>
    <mergeCell ref="N95:Q95"/>
    <mergeCell ref="Z71:AC71"/>
    <mergeCell ref="H77:K77"/>
    <mergeCell ref="T77:W77"/>
    <mergeCell ref="Z77:AC77"/>
    <mergeCell ref="H101:K101"/>
    <mergeCell ref="N101:Q101"/>
    <mergeCell ref="H107:K107"/>
    <mergeCell ref="P10:P13"/>
    <mergeCell ref="H83:K83"/>
    <mergeCell ref="N83:Q83"/>
    <mergeCell ref="N77:Q77"/>
    <mergeCell ref="AF77:AI77"/>
    <mergeCell ref="A71:B71"/>
    <mergeCell ref="C71:D71"/>
    <mergeCell ref="H71:K71"/>
    <mergeCell ref="N71:Q71"/>
    <mergeCell ref="T71:W71"/>
    <mergeCell ref="AF71:AI71"/>
    <mergeCell ref="K9:M9"/>
    <mergeCell ref="J15:J16"/>
    <mergeCell ref="B11:D11"/>
    <mergeCell ref="C24:C25"/>
    <mergeCell ref="D24:D25"/>
    <mergeCell ref="E24:E25"/>
    <mergeCell ref="F24:F25"/>
    <mergeCell ref="E64:E65"/>
    <mergeCell ref="F64:F65"/>
    <mergeCell ref="B30:D30"/>
    <mergeCell ref="B24:B25"/>
    <mergeCell ref="C9:E9"/>
    <mergeCell ref="B7:F7"/>
    <mergeCell ref="R25:W25"/>
    <mergeCell ref="I1:L1"/>
    <mergeCell ref="M1:Q1"/>
    <mergeCell ref="AL71:AO71"/>
    <mergeCell ref="J34:J35"/>
    <mergeCell ref="J54:J55"/>
    <mergeCell ref="H7:N7"/>
    <mergeCell ref="B43:B44"/>
    <mergeCell ref="C43:C44"/>
    <mergeCell ref="D43:D44"/>
    <mergeCell ref="E43:E44"/>
    <mergeCell ref="F43:F44"/>
    <mergeCell ref="B64:B65"/>
    <mergeCell ref="C64:C65"/>
    <mergeCell ref="D64:D6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AO89"/>
  <sheetViews>
    <sheetView showGridLines="0" tabSelected="1" zoomScale="80" zoomScaleNormal="80" workbookViewId="0">
      <selection activeCell="N1" sqref="N1:R1"/>
    </sheetView>
  </sheetViews>
  <sheetFormatPr baseColWidth="10" defaultRowHeight="15" x14ac:dyDescent="0.25"/>
  <cols>
    <col min="2" max="2" width="14.28515625" customWidth="1"/>
    <col min="15" max="15" width="11.42578125" style="88"/>
    <col min="17" max="17" width="17.7109375" customWidth="1"/>
    <col min="22" max="22" width="3.42578125" customWidth="1"/>
    <col min="23" max="23" width="18.7109375" customWidth="1"/>
  </cols>
  <sheetData>
    <row r="1" spans="1:18" ht="27" thickBot="1" x14ac:dyDescent="0.3">
      <c r="J1" s="348" t="s">
        <v>165</v>
      </c>
      <c r="K1" s="349"/>
      <c r="L1" s="349"/>
      <c r="M1" s="361"/>
      <c r="N1" s="362">
        <v>42306</v>
      </c>
      <c r="O1" s="363"/>
      <c r="P1" s="363"/>
      <c r="Q1" s="363"/>
      <c r="R1" s="363"/>
    </row>
    <row r="2" spans="1:18" ht="15.75" x14ac:dyDescent="0.25">
      <c r="A2" s="276" t="s">
        <v>143</v>
      </c>
      <c r="B2" s="107"/>
      <c r="C2" s="107"/>
      <c r="D2" s="107"/>
      <c r="E2" s="107"/>
      <c r="F2" s="278" t="s">
        <v>160</v>
      </c>
      <c r="O2" s="121"/>
    </row>
    <row r="3" spans="1:18" ht="15.75" x14ac:dyDescent="0.25">
      <c r="A3" s="277" t="s">
        <v>144</v>
      </c>
      <c r="B3" s="12"/>
      <c r="C3" s="12"/>
      <c r="D3" s="12"/>
      <c r="E3" s="12"/>
      <c r="F3" s="109"/>
      <c r="J3" s="279" t="s">
        <v>154</v>
      </c>
      <c r="K3" s="107"/>
      <c r="L3" s="107"/>
      <c r="M3" s="107"/>
      <c r="N3" s="107"/>
      <c r="O3" s="108"/>
      <c r="P3" s="278" t="s">
        <v>161</v>
      </c>
    </row>
    <row r="4" spans="1:18" ht="15.75" x14ac:dyDescent="0.25">
      <c r="A4" s="272" t="s">
        <v>261</v>
      </c>
      <c r="B4" s="12"/>
      <c r="C4" s="12"/>
      <c r="D4" s="12"/>
      <c r="E4" s="12"/>
      <c r="F4" s="109"/>
      <c r="J4" s="274" t="s">
        <v>155</v>
      </c>
      <c r="K4" s="12"/>
      <c r="L4" s="12"/>
      <c r="M4" s="12"/>
      <c r="N4" s="12"/>
      <c r="O4" s="104"/>
      <c r="P4" s="109"/>
    </row>
    <row r="5" spans="1:18" ht="15.75" x14ac:dyDescent="0.25">
      <c r="A5" s="272" t="s">
        <v>145</v>
      </c>
      <c r="B5" s="12"/>
      <c r="C5" s="12"/>
      <c r="D5" s="12"/>
      <c r="E5" s="12"/>
      <c r="F5" s="109"/>
      <c r="J5" s="275" t="s">
        <v>156</v>
      </c>
      <c r="K5" s="93"/>
      <c r="L5" s="93"/>
      <c r="M5" s="93"/>
      <c r="N5" s="93"/>
      <c r="O5" s="110"/>
      <c r="P5" s="111"/>
    </row>
    <row r="6" spans="1:18" ht="15.75" x14ac:dyDescent="0.25">
      <c r="A6" s="272" t="s">
        <v>146</v>
      </c>
      <c r="B6" s="12"/>
      <c r="C6" s="12"/>
      <c r="D6" s="12"/>
      <c r="E6" s="12"/>
      <c r="F6" s="109"/>
      <c r="O6" s="90"/>
    </row>
    <row r="7" spans="1:18" ht="15.75" x14ac:dyDescent="0.25">
      <c r="A7" s="272" t="s">
        <v>147</v>
      </c>
      <c r="B7" s="12"/>
      <c r="C7" s="12"/>
      <c r="D7" s="12"/>
      <c r="E7" s="12"/>
      <c r="F7" s="109"/>
      <c r="J7" s="419" t="s">
        <v>262</v>
      </c>
      <c r="K7" s="420"/>
      <c r="L7" s="420"/>
      <c r="M7" s="420"/>
      <c r="N7" s="420"/>
      <c r="O7" s="420"/>
      <c r="P7" s="280" t="s">
        <v>100</v>
      </c>
    </row>
    <row r="8" spans="1:18" ht="15.75" x14ac:dyDescent="0.25">
      <c r="A8" s="273" t="s">
        <v>148</v>
      </c>
      <c r="B8" s="93"/>
      <c r="C8" s="93"/>
      <c r="D8" s="93"/>
      <c r="E8" s="93"/>
      <c r="F8" s="111"/>
    </row>
    <row r="9" spans="1:18" ht="19.5" thickBot="1" x14ac:dyDescent="0.35">
      <c r="A9" s="266"/>
      <c r="B9" s="12"/>
      <c r="C9" s="12"/>
      <c r="D9" s="12"/>
      <c r="E9" s="12"/>
      <c r="F9" s="12"/>
    </row>
    <row r="10" spans="1:18" ht="29.25" thickBot="1" x14ac:dyDescent="0.35">
      <c r="A10" s="266"/>
      <c r="B10" s="352" t="s">
        <v>205</v>
      </c>
      <c r="C10" s="353"/>
      <c r="D10" s="353"/>
      <c r="E10" s="353"/>
      <c r="F10" s="353"/>
      <c r="G10" s="354"/>
      <c r="O10" s="121"/>
    </row>
    <row r="11" spans="1:18" ht="29.25" thickBot="1" x14ac:dyDescent="0.35">
      <c r="A11" s="266"/>
      <c r="B11" s="352" t="s">
        <v>206</v>
      </c>
      <c r="C11" s="353"/>
      <c r="D11" s="353"/>
      <c r="E11" s="353"/>
      <c r="F11" s="353"/>
      <c r="G11" s="354"/>
      <c r="O11" s="121"/>
    </row>
    <row r="12" spans="1:18" ht="26.25" customHeight="1" x14ac:dyDescent="0.25">
      <c r="H12" s="12"/>
      <c r="I12" s="251" t="s">
        <v>173</v>
      </c>
      <c r="J12" s="251"/>
      <c r="K12" s="251"/>
      <c r="L12" s="251"/>
      <c r="M12" s="251"/>
      <c r="N12" s="251"/>
      <c r="O12"/>
      <c r="Q12" s="358" t="s">
        <v>166</v>
      </c>
    </row>
    <row r="13" spans="1:18" ht="26.25" x14ac:dyDescent="0.4">
      <c r="F13" s="418">
        <v>2016</v>
      </c>
      <c r="G13" s="418"/>
      <c r="I13" s="92"/>
      <c r="M13" s="418">
        <v>2017</v>
      </c>
      <c r="N13" s="418"/>
      <c r="O13"/>
      <c r="Q13" s="359"/>
    </row>
    <row r="14" spans="1:18" ht="15" customHeight="1" x14ac:dyDescent="0.25">
      <c r="I14" s="92"/>
      <c r="O14"/>
      <c r="Q14" s="359"/>
    </row>
    <row r="15" spans="1:18" ht="15.75" customHeight="1" thickBot="1" x14ac:dyDescent="0.3">
      <c r="C15" s="38" t="s">
        <v>50</v>
      </c>
      <c r="D15" s="39"/>
      <c r="E15" s="39"/>
      <c r="F15" s="39"/>
      <c r="G15" s="39"/>
      <c r="H15" s="39"/>
      <c r="I15" s="92"/>
      <c r="J15" s="38" t="s">
        <v>50</v>
      </c>
      <c r="K15" s="39"/>
      <c r="L15" s="39"/>
      <c r="M15" s="39"/>
      <c r="N15" s="39"/>
      <c r="O15" s="39"/>
      <c r="Q15" s="360"/>
    </row>
    <row r="16" spans="1:18" s="12" customFormat="1" x14ac:dyDescent="0.25">
      <c r="B16" s="123"/>
      <c r="C16" s="132"/>
      <c r="D16" s="143" t="s">
        <v>37</v>
      </c>
      <c r="E16" s="143" t="s">
        <v>38</v>
      </c>
      <c r="F16" s="143" t="s">
        <v>39</v>
      </c>
      <c r="G16" s="143" t="s">
        <v>40</v>
      </c>
      <c r="H16" s="143" t="s">
        <v>39</v>
      </c>
      <c r="I16" s="158" t="s">
        <v>111</v>
      </c>
      <c r="J16" s="132"/>
      <c r="K16" s="143" t="s">
        <v>37</v>
      </c>
      <c r="L16" s="143" t="s">
        <v>38</v>
      </c>
      <c r="M16" s="143" t="s">
        <v>39</v>
      </c>
      <c r="N16" s="143" t="s">
        <v>40</v>
      </c>
      <c r="O16" s="143" t="s">
        <v>39</v>
      </c>
    </row>
    <row r="17" spans="2:17" s="12" customFormat="1" x14ac:dyDescent="0.25">
      <c r="B17" s="123"/>
      <c r="C17" s="132"/>
      <c r="D17" s="144"/>
      <c r="E17" s="144"/>
      <c r="F17" s="143" t="s">
        <v>41</v>
      </c>
      <c r="G17" s="143" t="s">
        <v>42</v>
      </c>
      <c r="H17" s="143" t="s">
        <v>43</v>
      </c>
      <c r="I17" s="158"/>
      <c r="J17" s="132"/>
      <c r="K17" s="144"/>
      <c r="L17" s="144"/>
      <c r="M17" s="143" t="s">
        <v>41</v>
      </c>
      <c r="N17" s="143" t="s">
        <v>42</v>
      </c>
      <c r="O17" s="143" t="s">
        <v>43</v>
      </c>
    </row>
    <row r="18" spans="2:17" ht="21" x14ac:dyDescent="0.25">
      <c r="B18" s="122"/>
      <c r="C18" s="125"/>
      <c r="D18" s="197">
        <v>1</v>
      </c>
      <c r="E18" s="145" t="s">
        <v>44</v>
      </c>
      <c r="F18" s="127">
        <f>LOOKUP(H18,'IB-IM et VP'!A:A,'IB-IM et VP'!C:C)</f>
        <v>333</v>
      </c>
      <c r="G18" s="146">
        <f>F18*'IB-IM et VP'!P3</f>
        <v>1551.1389749999998</v>
      </c>
      <c r="H18" s="145">
        <v>358</v>
      </c>
      <c r="I18" s="227" t="s">
        <v>57</v>
      </c>
      <c r="J18" s="125"/>
      <c r="K18" s="197">
        <v>1</v>
      </c>
      <c r="L18" s="145" t="s">
        <v>45</v>
      </c>
      <c r="M18" s="127">
        <f>LOOKUP(O18,'IB-IM et VP'!A:A,'IB-IM et VP'!C:C)</f>
        <v>347</v>
      </c>
      <c r="N18" s="146">
        <f>M18*'IB-IM et VP'!P3</f>
        <v>1616.3520249999997</v>
      </c>
      <c r="O18" s="145">
        <v>377</v>
      </c>
      <c r="Q18" s="198">
        <f>A46</f>
        <v>42736</v>
      </c>
    </row>
    <row r="19" spans="2:17" ht="21" x14ac:dyDescent="0.25">
      <c r="B19" s="122"/>
      <c r="C19" s="125"/>
      <c r="D19" s="197">
        <v>2</v>
      </c>
      <c r="E19" s="145" t="s">
        <v>45</v>
      </c>
      <c r="F19" s="127">
        <f>LOOKUP(H19,'IB-IM et VP'!A:A,'IB-IM et VP'!C:C)</f>
        <v>338</v>
      </c>
      <c r="G19" s="146">
        <f>F19*'IB-IM et VP'!P4</f>
        <v>1574.4293499999997</v>
      </c>
      <c r="H19" s="145">
        <v>365</v>
      </c>
      <c r="I19" s="227" t="s">
        <v>56</v>
      </c>
      <c r="J19" s="125"/>
      <c r="K19" s="197">
        <v>1</v>
      </c>
      <c r="L19" s="145" t="s">
        <v>45</v>
      </c>
      <c r="M19" s="127">
        <f>LOOKUP(O19,'IB-IM et VP'!A:A,'IB-IM et VP'!C:C)</f>
        <v>347</v>
      </c>
      <c r="N19" s="146">
        <f>M19*'IB-IM et VP'!P4</f>
        <v>1616.3520249999997</v>
      </c>
      <c r="O19" s="145">
        <v>377</v>
      </c>
      <c r="P19" s="191"/>
      <c r="Q19" s="195">
        <f>N1</f>
        <v>42306</v>
      </c>
    </row>
    <row r="20" spans="2:17" ht="21" x14ac:dyDescent="0.25">
      <c r="B20" s="122"/>
      <c r="C20" s="125"/>
      <c r="D20" s="197">
        <v>3</v>
      </c>
      <c r="E20" s="145" t="s">
        <v>46</v>
      </c>
      <c r="F20" s="127">
        <f>LOOKUP(H20,'IB-IM et VP'!A:A,'IB-IM et VP'!C:C)</f>
        <v>352</v>
      </c>
      <c r="G20" s="146">
        <f>F20*'IB-IM et VP'!P5</f>
        <v>1639.6423999999997</v>
      </c>
      <c r="H20" s="145">
        <v>384</v>
      </c>
      <c r="I20" s="227" t="s">
        <v>56</v>
      </c>
      <c r="J20" s="125"/>
      <c r="K20" s="197">
        <v>2</v>
      </c>
      <c r="L20" s="145" t="s">
        <v>46</v>
      </c>
      <c r="M20" s="127">
        <f>LOOKUP(O20,'IB-IM et VP'!A:A,'IB-IM et VP'!C:C)</f>
        <v>370</v>
      </c>
      <c r="N20" s="146">
        <f>M20*'IB-IM et VP'!P5</f>
        <v>1723.4877499999998</v>
      </c>
      <c r="O20" s="145">
        <v>416</v>
      </c>
      <c r="Q20" s="198">
        <f>N1</f>
        <v>42306</v>
      </c>
    </row>
    <row r="21" spans="2:17" ht="21" x14ac:dyDescent="0.25">
      <c r="B21" s="122"/>
      <c r="C21" s="166"/>
      <c r="D21" s="197">
        <v>4</v>
      </c>
      <c r="E21" s="145" t="s">
        <v>46</v>
      </c>
      <c r="F21" s="127">
        <f>LOOKUP(H21,'IB-IM et VP'!A:A,'IB-IM et VP'!C:C)</f>
        <v>376</v>
      </c>
      <c r="G21" s="146">
        <f>F21*'IB-IM et VP'!P6</f>
        <v>1751.4361999999996</v>
      </c>
      <c r="H21" s="145">
        <v>423</v>
      </c>
      <c r="I21" s="227" t="s">
        <v>56</v>
      </c>
      <c r="J21" s="166"/>
      <c r="K21" s="197">
        <v>3</v>
      </c>
      <c r="L21" s="145" t="s">
        <v>46</v>
      </c>
      <c r="M21" s="127">
        <f>LOOKUP(O21,'IB-IM et VP'!A:A,'IB-IM et VP'!C:C)</f>
        <v>386</v>
      </c>
      <c r="N21" s="146">
        <f>M21*'IB-IM et VP'!P6</f>
        <v>1798.0169499999997</v>
      </c>
      <c r="O21" s="145">
        <v>438</v>
      </c>
      <c r="P21" s="191"/>
      <c r="Q21" s="195">
        <f>N1</f>
        <v>42306</v>
      </c>
    </row>
    <row r="22" spans="2:17" ht="21" x14ac:dyDescent="0.25">
      <c r="B22" s="122"/>
      <c r="C22" s="125"/>
      <c r="D22" s="197">
        <v>5</v>
      </c>
      <c r="E22" s="145" t="s">
        <v>47</v>
      </c>
      <c r="F22" s="127">
        <f>LOOKUP(H22,'IB-IM et VP'!A:A,'IB-IM et VP'!C:C)</f>
        <v>400</v>
      </c>
      <c r="G22" s="146">
        <f>F22*'IB-IM et VP'!P7</f>
        <v>1863.2299999999998</v>
      </c>
      <c r="H22" s="145">
        <v>457</v>
      </c>
      <c r="I22" s="227" t="s">
        <v>56</v>
      </c>
      <c r="J22" s="125"/>
      <c r="K22" s="197">
        <v>4</v>
      </c>
      <c r="L22" s="145" t="s">
        <v>47</v>
      </c>
      <c r="M22" s="127">
        <f>LOOKUP(O22,'IB-IM et VP'!A:A,'IB-IM et VP'!C:C)</f>
        <v>406</v>
      </c>
      <c r="N22" s="146">
        <f>M22*'IB-IM et VP'!P7</f>
        <v>1891.1784499999997</v>
      </c>
      <c r="O22" s="145">
        <v>464</v>
      </c>
      <c r="Q22" s="198">
        <f>N1</f>
        <v>42306</v>
      </c>
    </row>
    <row r="23" spans="2:17" ht="21" x14ac:dyDescent="0.25">
      <c r="B23" s="122"/>
      <c r="C23" s="125"/>
      <c r="D23" s="197">
        <v>6</v>
      </c>
      <c r="E23" s="145" t="s">
        <v>47</v>
      </c>
      <c r="F23" s="127">
        <f>LOOKUP(H23,'IB-IM et VP'!A:A,'IB-IM et VP'!C:C)</f>
        <v>426</v>
      </c>
      <c r="G23" s="146">
        <f>F23*'IB-IM et VP'!P8</f>
        <v>1984.3399499999996</v>
      </c>
      <c r="H23" s="145">
        <v>494</v>
      </c>
      <c r="I23" s="227" t="s">
        <v>56</v>
      </c>
      <c r="J23" s="125"/>
      <c r="K23" s="197">
        <v>5</v>
      </c>
      <c r="L23" s="145" t="s">
        <v>47</v>
      </c>
      <c r="M23" s="127">
        <f>LOOKUP(O23,'IB-IM et VP'!A:A,'IB-IM et VP'!C:C)</f>
        <v>428</v>
      </c>
      <c r="N23" s="146">
        <f>M23*'IB-IM et VP'!P8</f>
        <v>1993.6560999999997</v>
      </c>
      <c r="O23" s="145">
        <v>497</v>
      </c>
      <c r="P23" s="191"/>
      <c r="Q23" s="195">
        <f>N1</f>
        <v>42306</v>
      </c>
    </row>
    <row r="24" spans="2:17" ht="21" x14ac:dyDescent="0.25">
      <c r="B24" s="122"/>
      <c r="C24" s="125"/>
      <c r="D24" s="197">
        <v>7</v>
      </c>
      <c r="E24" s="145" t="s">
        <v>47</v>
      </c>
      <c r="F24" s="127">
        <f>LOOKUP(H24,'IB-IM et VP'!A:A,'IB-IM et VP'!C:C)</f>
        <v>456</v>
      </c>
      <c r="G24" s="146">
        <f>F24*'IB-IM et VP'!P9</f>
        <v>2124.0821999999998</v>
      </c>
      <c r="H24" s="145">
        <v>535</v>
      </c>
      <c r="I24" s="227" t="s">
        <v>56</v>
      </c>
      <c r="J24" s="125"/>
      <c r="K24" s="197">
        <v>6</v>
      </c>
      <c r="L24" s="145" t="s">
        <v>47</v>
      </c>
      <c r="M24" s="127">
        <f>LOOKUP(O24,'IB-IM et VP'!A:A,'IB-IM et VP'!C:C)</f>
        <v>459</v>
      </c>
      <c r="N24" s="146">
        <f>M24*'IB-IM et VP'!P9</f>
        <v>2138.0564249999998</v>
      </c>
      <c r="O24" s="145">
        <v>540</v>
      </c>
      <c r="Q24" s="198">
        <f>N1</f>
        <v>42306</v>
      </c>
    </row>
    <row r="25" spans="2:17" ht="21" x14ac:dyDescent="0.25">
      <c r="B25" s="122"/>
      <c r="C25" s="125"/>
      <c r="D25" s="197">
        <v>8</v>
      </c>
      <c r="E25" s="134" t="s">
        <v>47</v>
      </c>
      <c r="F25" s="127">
        <f>LOOKUP(H25,'IB-IM et VP'!A:A,'IB-IM et VP'!C:C)</f>
        <v>489</v>
      </c>
      <c r="G25" s="146">
        <f>F25*'IB-IM et VP'!P10</f>
        <v>2277.7986749999995</v>
      </c>
      <c r="H25" s="145">
        <v>579</v>
      </c>
      <c r="I25" s="227" t="s">
        <v>56</v>
      </c>
      <c r="J25" s="125"/>
      <c r="K25" s="197">
        <v>7</v>
      </c>
      <c r="L25" s="134" t="s">
        <v>47</v>
      </c>
      <c r="M25" s="127">
        <f>LOOKUP(O25,'IB-IM et VP'!A:A,'IB-IM et VP'!C:C)</f>
        <v>492</v>
      </c>
      <c r="N25" s="146">
        <f>M25*'IB-IM et VP'!P10</f>
        <v>2291.7728999999995</v>
      </c>
      <c r="O25" s="145">
        <v>582</v>
      </c>
      <c r="P25" s="191"/>
      <c r="Q25" s="195">
        <f>N1</f>
        <v>42306</v>
      </c>
    </row>
    <row r="26" spans="2:17" ht="21" x14ac:dyDescent="0.25">
      <c r="B26" s="122"/>
      <c r="C26" s="125"/>
      <c r="D26" s="210">
        <v>9</v>
      </c>
      <c r="E26" s="134"/>
      <c r="F26" s="127">
        <f>LOOKUP(H26,'IB-IM et VP'!A:A,'IB-IM et VP'!C:C)</f>
        <v>521</v>
      </c>
      <c r="G26" s="146">
        <f>F26*'IB-IM et VP'!P11</f>
        <v>2426.8570749999994</v>
      </c>
      <c r="H26" s="134">
        <v>621</v>
      </c>
      <c r="I26" s="227" t="s">
        <v>56</v>
      </c>
      <c r="J26" s="125"/>
      <c r="K26" s="197">
        <v>8</v>
      </c>
      <c r="L26" s="134"/>
      <c r="M26" s="127"/>
      <c r="N26" s="146"/>
      <c r="O26" s="145">
        <v>631</v>
      </c>
      <c r="P26" s="191"/>
      <c r="Q26" s="195">
        <f>N1</f>
        <v>42306</v>
      </c>
    </row>
    <row r="27" spans="2:17" x14ac:dyDescent="0.25">
      <c r="B27" s="122"/>
      <c r="C27" s="124"/>
      <c r="D27" s="136"/>
      <c r="E27" s="136"/>
      <c r="F27" s="136"/>
      <c r="G27" s="136"/>
      <c r="H27" s="136"/>
      <c r="I27" s="148"/>
      <c r="J27" s="124"/>
      <c r="K27" s="136"/>
      <c r="L27" s="136"/>
      <c r="M27" s="136"/>
      <c r="N27" s="136"/>
      <c r="O27" s="136"/>
    </row>
    <row r="28" spans="2:17" x14ac:dyDescent="0.25">
      <c r="B28" s="122"/>
      <c r="C28" s="124"/>
      <c r="D28" s="136"/>
      <c r="E28" s="136"/>
      <c r="F28" s="136"/>
      <c r="G28" s="136"/>
      <c r="H28" s="136"/>
      <c r="I28" s="148"/>
      <c r="J28" s="124"/>
      <c r="K28" s="136"/>
      <c r="L28" s="136"/>
      <c r="M28" s="136"/>
      <c r="N28" s="136"/>
      <c r="O28" s="136"/>
    </row>
    <row r="29" spans="2:17" x14ac:dyDescent="0.25">
      <c r="B29" s="122"/>
      <c r="C29" s="125" t="s">
        <v>51</v>
      </c>
      <c r="D29" s="136"/>
      <c r="E29" s="136"/>
      <c r="F29" s="136"/>
      <c r="G29" s="136"/>
      <c r="H29" s="136"/>
      <c r="I29" s="148"/>
      <c r="J29" s="125" t="s">
        <v>51</v>
      </c>
      <c r="K29" s="136"/>
      <c r="L29" s="136"/>
      <c r="M29" s="136"/>
      <c r="N29" s="136"/>
      <c r="O29" s="136"/>
    </row>
    <row r="30" spans="2:17" s="12" customFormat="1" x14ac:dyDescent="0.25">
      <c r="B30" s="123"/>
      <c r="C30" s="140"/>
      <c r="D30" s="144" t="s">
        <v>37</v>
      </c>
      <c r="E30" s="144" t="s">
        <v>38</v>
      </c>
      <c r="F30" s="143" t="s">
        <v>39</v>
      </c>
      <c r="G30" s="143" t="s">
        <v>40</v>
      </c>
      <c r="H30" s="143" t="s">
        <v>39</v>
      </c>
      <c r="I30" s="158"/>
      <c r="J30" s="140"/>
      <c r="K30" s="144" t="s">
        <v>37</v>
      </c>
      <c r="L30" s="144" t="s">
        <v>38</v>
      </c>
      <c r="M30" s="143" t="s">
        <v>39</v>
      </c>
      <c r="N30" s="143" t="s">
        <v>40</v>
      </c>
      <c r="O30" s="143" t="s">
        <v>39</v>
      </c>
    </row>
    <row r="31" spans="2:17" s="12" customFormat="1" x14ac:dyDescent="0.25">
      <c r="B31" s="123"/>
      <c r="C31" s="140"/>
      <c r="D31" s="144"/>
      <c r="E31" s="144"/>
      <c r="F31" s="144" t="s">
        <v>41</v>
      </c>
      <c r="G31" s="144" t="s">
        <v>42</v>
      </c>
      <c r="H31" s="144" t="s">
        <v>43</v>
      </c>
      <c r="I31" s="158"/>
      <c r="J31" s="140"/>
      <c r="K31" s="144"/>
      <c r="L31" s="144"/>
      <c r="M31" s="144" t="s">
        <v>41</v>
      </c>
      <c r="N31" s="144" t="s">
        <v>42</v>
      </c>
      <c r="O31" s="144" t="s">
        <v>43</v>
      </c>
    </row>
    <row r="32" spans="2:17" ht="21" x14ac:dyDescent="0.25">
      <c r="B32" s="122"/>
      <c r="C32" s="124"/>
      <c r="D32" s="197">
        <v>1</v>
      </c>
      <c r="E32" s="134" t="s">
        <v>45</v>
      </c>
      <c r="F32" s="127">
        <f>LOOKUP(H32,'IB-IM et VP'!A:A,'IB-IM et VP'!C:C)</f>
        <v>429</v>
      </c>
      <c r="G32" s="146">
        <f>F32*'IB-IM et VP'!P3</f>
        <v>1998.3141749999998</v>
      </c>
      <c r="H32" s="134">
        <v>498</v>
      </c>
      <c r="I32" s="227" t="s">
        <v>56</v>
      </c>
      <c r="J32" s="124"/>
      <c r="K32" s="197">
        <v>1</v>
      </c>
      <c r="L32" s="145" t="s">
        <v>44</v>
      </c>
      <c r="M32" s="127">
        <f>LOOKUP(O32,'IB-IM et VP'!A:A,'IB-IM et VP'!C:C)</f>
        <v>437</v>
      </c>
      <c r="N32" s="146">
        <f>M32*'IB-IM et VP'!P3</f>
        <v>2035.5787749999997</v>
      </c>
      <c r="O32" s="134">
        <v>508</v>
      </c>
      <c r="Q32" s="198">
        <f>N1</f>
        <v>42306</v>
      </c>
    </row>
    <row r="33" spans="1:41" ht="21" x14ac:dyDescent="0.25">
      <c r="B33" s="122"/>
      <c r="C33" s="124"/>
      <c r="D33" s="197">
        <v>2</v>
      </c>
      <c r="E33" s="134" t="s">
        <v>46</v>
      </c>
      <c r="F33" s="127">
        <f>LOOKUP(H33,'IB-IM et VP'!A:A,'IB-IM et VP'!C:C)</f>
        <v>454</v>
      </c>
      <c r="G33" s="146">
        <f>F33*'IB-IM et VP'!P4</f>
        <v>2114.7660499999997</v>
      </c>
      <c r="H33" s="134">
        <v>531</v>
      </c>
      <c r="I33" s="227" t="s">
        <v>58</v>
      </c>
      <c r="J33" s="124"/>
      <c r="K33" s="197">
        <v>2</v>
      </c>
      <c r="L33" s="145" t="s">
        <v>45</v>
      </c>
      <c r="M33" s="127">
        <f>LOOKUP(O33,'IB-IM et VP'!A:A,'IB-IM et VP'!C:C)</f>
        <v>457</v>
      </c>
      <c r="N33" s="146">
        <f>M33*'IB-IM et VP'!P4</f>
        <v>2128.7402749999997</v>
      </c>
      <c r="O33" s="134">
        <v>538</v>
      </c>
      <c r="P33" s="191"/>
      <c r="Q33" s="195">
        <f>W49</f>
        <v>42449.333333333336</v>
      </c>
    </row>
    <row r="34" spans="1:41" ht="21" x14ac:dyDescent="0.25">
      <c r="B34" s="122"/>
      <c r="C34" s="124"/>
      <c r="D34" s="197">
        <v>3</v>
      </c>
      <c r="E34" s="134" t="s">
        <v>46</v>
      </c>
      <c r="F34" s="127">
        <f>LOOKUP(H34,'IB-IM et VP'!A:A,'IB-IM et VP'!C:C)</f>
        <v>477</v>
      </c>
      <c r="G34" s="146">
        <f>F34*'IB-IM et VP'!P5</f>
        <v>2221.9017749999998</v>
      </c>
      <c r="H34" s="134">
        <v>563</v>
      </c>
      <c r="I34" s="227" t="s">
        <v>56</v>
      </c>
      <c r="J34" s="124"/>
      <c r="K34" s="197">
        <v>3</v>
      </c>
      <c r="L34" s="145" t="s">
        <v>46</v>
      </c>
      <c r="M34" s="127">
        <f>LOOKUP(O34,'IB-IM et VP'!A:A,'IB-IM et VP'!C:C)</f>
        <v>481</v>
      </c>
      <c r="N34" s="146">
        <f>M34*'IB-IM et VP'!P5</f>
        <v>2240.5340749999996</v>
      </c>
      <c r="O34" s="134">
        <v>569</v>
      </c>
      <c r="Q34" s="198">
        <f>N1</f>
        <v>42306</v>
      </c>
    </row>
    <row r="35" spans="1:41" ht="21" x14ac:dyDescent="0.25">
      <c r="B35" s="122"/>
      <c r="C35" s="124"/>
      <c r="D35" s="197">
        <v>4</v>
      </c>
      <c r="E35" s="134" t="s">
        <v>47</v>
      </c>
      <c r="F35" s="127">
        <f>LOOKUP(H35,'IB-IM et VP'!A:A,'IB-IM et VP'!C:C)</f>
        <v>500</v>
      </c>
      <c r="G35" s="146">
        <f>F35*'IB-IM et VP'!P6</f>
        <v>2329.0374999999995</v>
      </c>
      <c r="H35" s="134">
        <v>593</v>
      </c>
      <c r="I35" s="227" t="s">
        <v>56</v>
      </c>
      <c r="J35" s="124"/>
      <c r="K35" s="197">
        <v>4</v>
      </c>
      <c r="L35" s="145" t="s">
        <v>46</v>
      </c>
      <c r="M35" s="127">
        <f>LOOKUP(O35,'IB-IM et VP'!A:A,'IB-IM et VP'!C:C)</f>
        <v>505</v>
      </c>
      <c r="N35" s="146">
        <f>M35*'IB-IM et VP'!P6</f>
        <v>2352.3278749999995</v>
      </c>
      <c r="O35" s="134">
        <v>600</v>
      </c>
      <c r="P35" s="191"/>
      <c r="Q35" s="195">
        <f>N1</f>
        <v>42306</v>
      </c>
    </row>
    <row r="36" spans="1:41" ht="21" x14ac:dyDescent="0.25">
      <c r="B36" s="122"/>
      <c r="C36" s="124"/>
      <c r="D36" s="197">
        <v>5</v>
      </c>
      <c r="E36" s="134" t="s">
        <v>47</v>
      </c>
      <c r="F36" s="127">
        <f>LOOKUP(H36,'IB-IM et VP'!A:A,'IB-IM et VP'!C:C)</f>
        <v>525</v>
      </c>
      <c r="G36" s="146">
        <f>F36*'IB-IM et VP'!P7</f>
        <v>2445.4893749999997</v>
      </c>
      <c r="H36" s="134">
        <v>626</v>
      </c>
      <c r="I36" s="227" t="s">
        <v>56</v>
      </c>
      <c r="J36" s="124"/>
      <c r="K36" s="197">
        <v>5</v>
      </c>
      <c r="L36" s="145" t="s">
        <v>47</v>
      </c>
      <c r="M36" s="127">
        <f>LOOKUP(O36,'IB-IM et VP'!A:A,'IB-IM et VP'!C:C)</f>
        <v>529</v>
      </c>
      <c r="N36" s="146">
        <f>M36*'IB-IM et VP'!P7</f>
        <v>2464.1216749999994</v>
      </c>
      <c r="O36" s="134">
        <v>631</v>
      </c>
      <c r="Q36" s="198">
        <f>N1</f>
        <v>42306</v>
      </c>
    </row>
    <row r="37" spans="1:41" ht="21" x14ac:dyDescent="0.25">
      <c r="B37" s="122"/>
      <c r="C37" s="124"/>
      <c r="D37" s="197">
        <v>6</v>
      </c>
      <c r="E37" s="134" t="s">
        <v>47</v>
      </c>
      <c r="F37" s="127">
        <f>LOOKUP(H37,'IB-IM et VP'!A:A,'IB-IM et VP'!C:C)</f>
        <v>546</v>
      </c>
      <c r="G37" s="146">
        <f>F37*'IB-IM et VP'!P8</f>
        <v>2543.3089499999996</v>
      </c>
      <c r="H37" s="134">
        <v>655</v>
      </c>
      <c r="I37" s="227" t="s">
        <v>56</v>
      </c>
      <c r="J37" s="124"/>
      <c r="K37" s="197">
        <v>6</v>
      </c>
      <c r="L37" s="145" t="s">
        <v>47</v>
      </c>
      <c r="M37" s="127">
        <f>LOOKUP(O37,'IB-IM et VP'!A:A,'IB-IM et VP'!C:C)</f>
        <v>548</v>
      </c>
      <c r="N37" s="146">
        <f>M37*'IB-IM et VP'!P8</f>
        <v>2552.6250999999997</v>
      </c>
      <c r="O37" s="134">
        <v>657</v>
      </c>
      <c r="P37" s="191"/>
      <c r="Q37" s="195">
        <f>N1</f>
        <v>42306</v>
      </c>
    </row>
    <row r="38" spans="1:41" ht="21" x14ac:dyDescent="0.25">
      <c r="B38" s="122"/>
      <c r="C38" s="124"/>
      <c r="D38" s="210">
        <v>7</v>
      </c>
      <c r="E38" s="134"/>
      <c r="F38" s="127">
        <f>LOOKUP(H38,'IB-IM et VP'!A:A,'IB-IM et VP'!C:C)</f>
        <v>568</v>
      </c>
      <c r="G38" s="146">
        <f>F38*'IB-IM et VP'!P9</f>
        <v>2645.7865999999995</v>
      </c>
      <c r="H38" s="134">
        <v>683</v>
      </c>
      <c r="I38" s="227" t="s">
        <v>56</v>
      </c>
      <c r="J38" s="124"/>
      <c r="K38" s="210">
        <v>7</v>
      </c>
      <c r="L38" s="145" t="s">
        <v>47</v>
      </c>
      <c r="M38" s="127">
        <f>LOOKUP(O38,'IB-IM et VP'!A:A,'IB-IM et VP'!C:C)</f>
        <v>569</v>
      </c>
      <c r="N38" s="146">
        <f>M38*'IB-IM et VP'!P9</f>
        <v>2650.4446749999997</v>
      </c>
      <c r="O38" s="134">
        <v>684</v>
      </c>
      <c r="Q38" s="198">
        <f>N1</f>
        <v>42306</v>
      </c>
    </row>
    <row r="39" spans="1:41" ht="21" x14ac:dyDescent="0.25">
      <c r="B39" s="122"/>
      <c r="C39" s="122"/>
      <c r="D39" s="122"/>
      <c r="E39" s="122"/>
      <c r="F39" s="122"/>
      <c r="G39" s="122"/>
      <c r="H39" s="122"/>
      <c r="I39" s="122"/>
      <c r="J39" s="122"/>
      <c r="K39" s="197">
        <v>8</v>
      </c>
      <c r="L39" s="164"/>
      <c r="M39" s="127">
        <f>LOOKUP(O39,'IB-IM et VP'!A:A,'IB-IM et VP'!C:C)</f>
        <v>582</v>
      </c>
      <c r="N39" s="146">
        <f>M39*'IB-IM et VP'!P10</f>
        <v>2710.9996499999997</v>
      </c>
      <c r="O39" s="212">
        <v>701</v>
      </c>
      <c r="P39" s="214"/>
      <c r="Q39" s="213"/>
    </row>
    <row r="40" spans="1:41" x14ac:dyDescent="0.25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36"/>
      <c r="P40" s="122"/>
      <c r="Q40" s="122"/>
      <c r="R40" s="122"/>
      <c r="S40" s="122"/>
      <c r="T40" s="122"/>
      <c r="U40" s="122"/>
    </row>
    <row r="41" spans="1:41" x14ac:dyDescent="0.25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65"/>
      <c r="P41" s="122"/>
      <c r="Q41" s="122"/>
      <c r="R41" s="122"/>
      <c r="S41" s="122"/>
      <c r="T41" s="122"/>
      <c r="U41" s="122"/>
    </row>
    <row r="42" spans="1:41" x14ac:dyDescent="0.25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65"/>
      <c r="P42" s="122"/>
      <c r="Q42" s="122"/>
      <c r="R42" s="122"/>
      <c r="S42" s="122"/>
      <c r="T42" s="122"/>
      <c r="U42" s="122"/>
    </row>
    <row r="43" spans="1:41" hidden="1" x14ac:dyDescent="0.25"/>
    <row r="44" spans="1:41" hidden="1" x14ac:dyDescent="0.25"/>
    <row r="45" spans="1:41" ht="15.75" hidden="1" thickBot="1" x14ac:dyDescent="0.3">
      <c r="O45"/>
      <c r="AE45" s="101"/>
    </row>
    <row r="46" spans="1:41" s="40" customFormat="1" ht="15" hidden="1" customHeight="1" thickBot="1" x14ac:dyDescent="0.3">
      <c r="A46" s="377">
        <v>42736</v>
      </c>
      <c r="B46" s="378"/>
      <c r="C46" s="379"/>
      <c r="D46" s="380"/>
      <c r="E46" s="42"/>
      <c r="F46" s="43"/>
      <c r="G46" s="43"/>
      <c r="H46" s="381" t="s">
        <v>75</v>
      </c>
      <c r="I46" s="382"/>
      <c r="J46" s="382"/>
      <c r="K46" s="383"/>
      <c r="L46" s="44"/>
      <c r="M46" s="45"/>
      <c r="N46" s="384" t="s">
        <v>76</v>
      </c>
      <c r="O46" s="385"/>
      <c r="P46" s="385"/>
      <c r="Q46" s="386"/>
      <c r="R46" s="44"/>
      <c r="S46" s="45"/>
      <c r="T46" s="384" t="s">
        <v>77</v>
      </c>
      <c r="U46" s="385"/>
      <c r="V46" s="385"/>
      <c r="W46" s="386"/>
      <c r="X46" s="46"/>
      <c r="Y46" s="45"/>
      <c r="Z46" s="384" t="s">
        <v>78</v>
      </c>
      <c r="AA46" s="385"/>
      <c r="AB46" s="385"/>
      <c r="AC46" s="386"/>
      <c r="AE46" s="102"/>
      <c r="AF46" s="384" t="s">
        <v>138</v>
      </c>
      <c r="AG46" s="385"/>
      <c r="AH46" s="385"/>
      <c r="AI46" s="386"/>
      <c r="AK46" s="102"/>
      <c r="AL46" s="384" t="s">
        <v>167</v>
      </c>
      <c r="AM46" s="385"/>
      <c r="AN46" s="385"/>
      <c r="AO46" s="386"/>
    </row>
    <row r="47" spans="1:41" ht="23.25" hidden="1" thickBot="1" x14ac:dyDescent="0.3">
      <c r="A47" s="74"/>
      <c r="B47" s="47"/>
      <c r="C47" s="48" t="s">
        <v>79</v>
      </c>
      <c r="D47" s="49" t="s">
        <v>80</v>
      </c>
      <c r="E47" s="49"/>
      <c r="F47" s="49"/>
      <c r="G47" s="49"/>
      <c r="H47" s="50" t="s">
        <v>81</v>
      </c>
      <c r="I47" s="51" t="s">
        <v>82</v>
      </c>
      <c r="J47" s="51" t="s">
        <v>83</v>
      </c>
      <c r="K47" s="52" t="s">
        <v>84</v>
      </c>
      <c r="L47" s="53"/>
      <c r="M47" s="54"/>
      <c r="N47" s="50" t="s">
        <v>81</v>
      </c>
      <c r="O47" s="51" t="s">
        <v>82</v>
      </c>
      <c r="P47" s="51" t="s">
        <v>83</v>
      </c>
      <c r="Q47" s="55" t="s">
        <v>84</v>
      </c>
      <c r="R47" s="53"/>
      <c r="S47" s="54"/>
      <c r="T47" s="50" t="s">
        <v>81</v>
      </c>
      <c r="U47" s="51" t="s">
        <v>82</v>
      </c>
      <c r="V47" s="51" t="s">
        <v>83</v>
      </c>
      <c r="W47" s="55" t="s">
        <v>84</v>
      </c>
      <c r="X47" s="56"/>
      <c r="Y47" s="57"/>
      <c r="Z47" s="50" t="s">
        <v>81</v>
      </c>
      <c r="AA47" s="51" t="s">
        <v>82</v>
      </c>
      <c r="AB47" s="51" t="s">
        <v>83</v>
      </c>
      <c r="AC47" s="55" t="s">
        <v>84</v>
      </c>
      <c r="AE47" s="103"/>
      <c r="AF47" s="50" t="s">
        <v>81</v>
      </c>
      <c r="AG47" s="51" t="s">
        <v>82</v>
      </c>
      <c r="AH47" s="51" t="s">
        <v>83</v>
      </c>
      <c r="AI47" s="55" t="s">
        <v>84</v>
      </c>
      <c r="AK47" s="103"/>
      <c r="AL47" s="50" t="s">
        <v>81</v>
      </c>
      <c r="AM47" s="51" t="s">
        <v>82</v>
      </c>
      <c r="AN47" s="51" t="s">
        <v>83</v>
      </c>
      <c r="AO47" s="55" t="s">
        <v>84</v>
      </c>
    </row>
    <row r="48" spans="1:41" ht="16.5" hidden="1" thickTop="1" thickBot="1" x14ac:dyDescent="0.3">
      <c r="H48" s="12"/>
      <c r="I48" s="12"/>
      <c r="J48" s="12"/>
      <c r="K48" s="12"/>
      <c r="N48" s="12"/>
      <c r="O48" s="12"/>
      <c r="P48" s="12"/>
      <c r="Q48" s="12"/>
      <c r="T48" s="12"/>
      <c r="U48" s="12"/>
      <c r="V48" s="12"/>
      <c r="W48" s="12"/>
      <c r="Z48" s="12"/>
      <c r="AA48" s="12"/>
      <c r="AB48" s="12"/>
      <c r="AC48" s="12"/>
      <c r="AE48" s="101"/>
      <c r="AF48" s="12"/>
      <c r="AG48" s="12"/>
      <c r="AH48" s="12"/>
      <c r="AI48" s="12"/>
      <c r="AK48" s="101"/>
      <c r="AL48" s="12"/>
      <c r="AM48" s="12"/>
      <c r="AN48" s="12"/>
      <c r="AO48" s="12"/>
    </row>
    <row r="49" spans="1:41" ht="16.5" hidden="1" thickTop="1" thickBot="1" x14ac:dyDescent="0.3">
      <c r="A49" s="121"/>
      <c r="B49" s="41">
        <f>A46</f>
        <v>42736</v>
      </c>
      <c r="C49" s="58">
        <f>N1</f>
        <v>42306</v>
      </c>
      <c r="D49" s="59">
        <f>E49/30.5</f>
        <v>14.098360655737705</v>
      </c>
      <c r="E49" s="60">
        <f>B49-C49</f>
        <v>430</v>
      </c>
      <c r="F49" s="61"/>
      <c r="G49" s="61">
        <f>E49*1/2</f>
        <v>215</v>
      </c>
      <c r="H49" s="62">
        <f>INT(D49*1/2/12)</f>
        <v>0</v>
      </c>
      <c r="I49" s="63">
        <f>INT(D49*1/2-(H49*12))</f>
        <v>7</v>
      </c>
      <c r="J49" s="64">
        <f>ROUND((D49*1/2-(H49*12)-I49)*30,0)</f>
        <v>1</v>
      </c>
      <c r="K49" s="86">
        <f>B49-G49</f>
        <v>42521</v>
      </c>
      <c r="L49" s="65"/>
      <c r="M49" s="66">
        <f>E49*3/4</f>
        <v>322.5</v>
      </c>
      <c r="N49" s="62">
        <f>INT(D49*3/4/12)</f>
        <v>0</v>
      </c>
      <c r="O49" s="63">
        <f>INT(D49*3/4-(N49*12))</f>
        <v>10</v>
      </c>
      <c r="P49" s="64">
        <f>ROUND((D49*3/4-(N49*12)-O49)*30,0)</f>
        <v>17</v>
      </c>
      <c r="Q49" s="87">
        <f>B49-M49</f>
        <v>42413.5</v>
      </c>
      <c r="R49" s="65"/>
      <c r="S49" s="61">
        <f>E49*2/3</f>
        <v>286.66666666666669</v>
      </c>
      <c r="T49" s="62">
        <f>INT(D49*2/3/12)</f>
        <v>0</v>
      </c>
      <c r="U49" s="63">
        <f>INT(D49*2/3-(T49*12))</f>
        <v>9</v>
      </c>
      <c r="V49" s="64">
        <f>ROUND((D49*2/3-(T49*12)-U49)*30,0)</f>
        <v>12</v>
      </c>
      <c r="W49" s="87">
        <f>B49-S49</f>
        <v>42449.333333333336</v>
      </c>
      <c r="X49" s="67"/>
      <c r="Y49" s="66">
        <f>E49*4/3</f>
        <v>573.33333333333337</v>
      </c>
      <c r="Z49" s="62">
        <f>INT(D49*4/3/12)</f>
        <v>1</v>
      </c>
      <c r="AA49" s="63">
        <f>INT(D49*4/3-(Z49*12))</f>
        <v>6</v>
      </c>
      <c r="AB49" s="64">
        <f>ROUND((D49*4/3-(Z49*12)-AA49)*30,0)</f>
        <v>24</v>
      </c>
      <c r="AC49" s="87">
        <f>B49-Y49</f>
        <v>42162.666666666664</v>
      </c>
      <c r="AE49" s="100">
        <f>E49*2</f>
        <v>860</v>
      </c>
      <c r="AF49" s="62">
        <f>INT(J49*4/3/12)</f>
        <v>0</v>
      </c>
      <c r="AG49" s="63">
        <f>INT(J49*4/3-(AF49*12))</f>
        <v>1</v>
      </c>
      <c r="AH49" s="64">
        <f>ROUND((J49*4/3-(AF49*12)-AG49)*30,0)</f>
        <v>10</v>
      </c>
      <c r="AI49" s="87">
        <f>C49-AE49</f>
        <v>41446</v>
      </c>
      <c r="AK49" s="100">
        <f>E49*3</f>
        <v>1290</v>
      </c>
      <c r="AL49" s="62">
        <f>INT(P49*4/3/12)</f>
        <v>1</v>
      </c>
      <c r="AM49" s="63">
        <f>INT(P49*4/3-(AL49*12))</f>
        <v>10</v>
      </c>
      <c r="AN49" s="64">
        <f>ROUND((P49*4/3-(AL49*12)-AM49)*30,0)</f>
        <v>20</v>
      </c>
      <c r="AO49" s="87">
        <f>C49-AK49</f>
        <v>41016</v>
      </c>
    </row>
    <row r="50" spans="1:41" hidden="1" x14ac:dyDescent="0.25">
      <c r="B50" s="41"/>
      <c r="C50" s="75"/>
      <c r="D50" s="76"/>
      <c r="E50" s="60"/>
      <c r="F50" s="61"/>
      <c r="G50" s="61"/>
      <c r="H50" s="70"/>
      <c r="I50" s="70"/>
      <c r="J50" s="73"/>
      <c r="K50" s="77"/>
      <c r="L50" s="61"/>
      <c r="M50" s="66"/>
      <c r="N50" s="70"/>
      <c r="O50" s="70"/>
      <c r="P50" s="73"/>
      <c r="Q50" s="67"/>
      <c r="R50" s="61"/>
      <c r="S50" s="61"/>
      <c r="T50" s="70"/>
      <c r="U50" s="70"/>
      <c r="V50" s="73"/>
      <c r="W50" s="67"/>
      <c r="X50" s="67"/>
      <c r="Y50" s="66"/>
      <c r="Z50" s="70"/>
      <c r="AA50" s="70"/>
      <c r="AB50" s="73"/>
      <c r="AC50" s="67"/>
      <c r="AE50" s="101"/>
    </row>
    <row r="51" spans="1:41" ht="15.75" hidden="1" thickBot="1" x14ac:dyDescent="0.3">
      <c r="F51" s="12"/>
      <c r="O51"/>
      <c r="AE51" s="101"/>
    </row>
    <row r="52" spans="1:41" ht="12.75" hidden="1" customHeight="1" x14ac:dyDescent="0.25">
      <c r="F52" s="12"/>
      <c r="H52" s="381" t="s">
        <v>85</v>
      </c>
      <c r="I52" s="382"/>
      <c r="J52" s="382"/>
      <c r="K52" s="383"/>
      <c r="N52" s="384" t="s">
        <v>90</v>
      </c>
      <c r="O52" s="385"/>
      <c r="P52" s="385"/>
      <c r="Q52" s="386"/>
      <c r="T52" s="384" t="s">
        <v>91</v>
      </c>
      <c r="U52" s="385"/>
      <c r="V52" s="385"/>
      <c r="W52" s="386"/>
      <c r="Z52" s="384" t="s">
        <v>132</v>
      </c>
      <c r="AA52" s="385"/>
      <c r="AB52" s="385"/>
      <c r="AC52" s="386"/>
      <c r="AE52" s="101"/>
      <c r="AF52" s="384" t="s">
        <v>141</v>
      </c>
      <c r="AG52" s="385"/>
      <c r="AH52" s="385"/>
      <c r="AI52" s="386"/>
    </row>
    <row r="53" spans="1:41" ht="23.25" hidden="1" thickBot="1" x14ac:dyDescent="0.3">
      <c r="F53" s="12"/>
      <c r="H53" s="50" t="s">
        <v>81</v>
      </c>
      <c r="I53" s="51" t="s">
        <v>82</v>
      </c>
      <c r="J53" s="51" t="s">
        <v>83</v>
      </c>
      <c r="K53" s="55" t="s">
        <v>84</v>
      </c>
      <c r="N53" s="50" t="s">
        <v>81</v>
      </c>
      <c r="O53" s="51" t="s">
        <v>82</v>
      </c>
      <c r="P53" s="51" t="s">
        <v>83</v>
      </c>
      <c r="Q53" s="55" t="s">
        <v>84</v>
      </c>
      <c r="T53" s="50" t="s">
        <v>81</v>
      </c>
      <c r="U53" s="51" t="s">
        <v>82</v>
      </c>
      <c r="V53" s="51" t="s">
        <v>83</v>
      </c>
      <c r="W53" s="55" t="s">
        <v>84</v>
      </c>
      <c r="Z53" s="50" t="s">
        <v>81</v>
      </c>
      <c r="AA53" s="51" t="s">
        <v>82</v>
      </c>
      <c r="AB53" s="51" t="s">
        <v>83</v>
      </c>
      <c r="AC53" s="55" t="s">
        <v>84</v>
      </c>
      <c r="AE53" s="101"/>
      <c r="AF53" s="50" t="s">
        <v>81</v>
      </c>
      <c r="AG53" s="51" t="s">
        <v>82</v>
      </c>
      <c r="AH53" s="51" t="s">
        <v>83</v>
      </c>
      <c r="AI53" s="55" t="s">
        <v>84</v>
      </c>
    </row>
    <row r="54" spans="1:41" ht="6" hidden="1" customHeight="1" thickBot="1" x14ac:dyDescent="0.3">
      <c r="F54" s="12"/>
      <c r="O54"/>
      <c r="AE54" s="101"/>
    </row>
    <row r="55" spans="1:41" ht="16.5" hidden="1" thickTop="1" thickBot="1" x14ac:dyDescent="0.3">
      <c r="A55" s="121"/>
      <c r="B55" s="41">
        <f>A46</f>
        <v>42736</v>
      </c>
      <c r="C55" s="58">
        <f>N1</f>
        <v>42306</v>
      </c>
      <c r="D55" s="59">
        <f>E55/30.5</f>
        <v>14.098360655737705</v>
      </c>
      <c r="E55" s="60">
        <f>B55-C55</f>
        <v>430</v>
      </c>
      <c r="F55" s="61"/>
      <c r="G55" s="61">
        <f>E55*3/2</f>
        <v>645</v>
      </c>
      <c r="H55" s="62">
        <f>INT(D55*3/2/12)</f>
        <v>1</v>
      </c>
      <c r="I55" s="63">
        <f>INT(D55*3/2-(H55*12))</f>
        <v>9</v>
      </c>
      <c r="J55" s="64">
        <f>ROUND((D55*3/2-(H55*12)-I55)*30,0)</f>
        <v>4</v>
      </c>
      <c r="K55" s="86">
        <f>B55-G55</f>
        <v>42091</v>
      </c>
      <c r="L55" s="65"/>
      <c r="M55" s="66">
        <f>E55*5/4</f>
        <v>537.5</v>
      </c>
      <c r="N55" s="62">
        <f>INT(D55*5/4/12)</f>
        <v>1</v>
      </c>
      <c r="O55" s="63">
        <f>INT(D55*5/4-(N55*12))</f>
        <v>5</v>
      </c>
      <c r="P55" s="64">
        <f>ROUND((D55*5/4-(N55*12)-O55)*30,0)</f>
        <v>19</v>
      </c>
      <c r="Q55" s="87">
        <f>B55-M55</f>
        <v>42198.5</v>
      </c>
      <c r="R55" s="65"/>
      <c r="S55" s="61">
        <f>E55*5/6</f>
        <v>358.33333333333331</v>
      </c>
      <c r="T55" s="62">
        <f>INT(D55*5/6/12)</f>
        <v>0</v>
      </c>
      <c r="U55" s="63">
        <f>INT(D55*5/6-(T55*12))</f>
        <v>11</v>
      </c>
      <c r="V55" s="64">
        <f>ROUND((D55*5/6-(T55*12)-U55)*30,0)</f>
        <v>22</v>
      </c>
      <c r="W55" s="87">
        <f>B55-S55</f>
        <v>42377.666666666664</v>
      </c>
      <c r="X55" s="67"/>
      <c r="Y55" s="66">
        <f>E55*7/6</f>
        <v>501.66666666666669</v>
      </c>
      <c r="Z55" s="62">
        <f>INT(D55*7/6/12)</f>
        <v>1</v>
      </c>
      <c r="AA55" s="63">
        <f>INT(D55*7/6-(Z55*12))</f>
        <v>4</v>
      </c>
      <c r="AB55" s="64">
        <f>ROUND((D55*7/6-(Z55*12)-AA55)*30,0)</f>
        <v>13</v>
      </c>
      <c r="AC55" s="87">
        <f>B55-Y55</f>
        <v>42234.333333333336</v>
      </c>
      <c r="AE55" s="100">
        <f>E55*6/7</f>
        <v>368.57142857142856</v>
      </c>
      <c r="AF55" s="62">
        <f>INT(J55*7/6/12)</f>
        <v>0</v>
      </c>
      <c r="AG55" s="63">
        <f>INT(J55*7/6-(AF55*12))</f>
        <v>4</v>
      </c>
      <c r="AH55" s="64">
        <f>ROUND((J55*7/6-(AF55*12)-AG55)*30,0)</f>
        <v>20</v>
      </c>
      <c r="AI55" s="87">
        <f>B55-AE55</f>
        <v>42367.428571428572</v>
      </c>
    </row>
    <row r="56" spans="1:41" hidden="1" x14ac:dyDescent="0.25">
      <c r="F56" s="12"/>
      <c r="O56"/>
      <c r="AE56" s="101"/>
    </row>
    <row r="57" spans="1:41" ht="15.75" hidden="1" thickBot="1" x14ac:dyDescent="0.3">
      <c r="F57" s="12"/>
      <c r="O57"/>
      <c r="AE57" s="101"/>
    </row>
    <row r="58" spans="1:41" ht="27.75" hidden="1" customHeight="1" x14ac:dyDescent="0.25">
      <c r="F58" s="12"/>
      <c r="H58" s="384" t="s">
        <v>92</v>
      </c>
      <c r="I58" s="385"/>
      <c r="J58" s="385"/>
      <c r="K58" s="386"/>
      <c r="N58" s="384" t="s">
        <v>93</v>
      </c>
      <c r="O58" s="385"/>
      <c r="P58" s="385"/>
      <c r="Q58" s="386"/>
      <c r="T58" s="384" t="s">
        <v>142</v>
      </c>
      <c r="U58" s="385"/>
      <c r="V58" s="385"/>
      <c r="W58" s="386"/>
      <c r="AE58" s="101"/>
    </row>
    <row r="59" spans="1:41" ht="23.25" hidden="1" thickBot="1" x14ac:dyDescent="0.3">
      <c r="F59" s="12"/>
      <c r="H59" s="50" t="s">
        <v>81</v>
      </c>
      <c r="I59" s="51" t="s">
        <v>82</v>
      </c>
      <c r="J59" s="51" t="s">
        <v>83</v>
      </c>
      <c r="K59" s="55" t="s">
        <v>84</v>
      </c>
      <c r="N59" s="50" t="s">
        <v>81</v>
      </c>
      <c r="O59" s="51" t="s">
        <v>82</v>
      </c>
      <c r="P59" s="51" t="s">
        <v>83</v>
      </c>
      <c r="Q59" s="55" t="s">
        <v>84</v>
      </c>
      <c r="T59" s="50"/>
      <c r="U59" s="51"/>
      <c r="V59" s="51"/>
      <c r="W59" s="55"/>
      <c r="AE59" s="101"/>
    </row>
    <row r="60" spans="1:41" ht="6" hidden="1" customHeight="1" thickBot="1" x14ac:dyDescent="0.3">
      <c r="F60" s="12"/>
      <c r="O60"/>
      <c r="AE60" s="101"/>
    </row>
    <row r="61" spans="1:41" ht="16.5" hidden="1" thickTop="1" thickBot="1" x14ac:dyDescent="0.3">
      <c r="A61" s="121"/>
      <c r="B61" s="41">
        <f>A46</f>
        <v>42736</v>
      </c>
      <c r="C61" s="58">
        <f>N1+(6*30.5)-1</f>
        <v>42488</v>
      </c>
      <c r="D61" s="59">
        <f>E61/30.5</f>
        <v>8.1311475409836067</v>
      </c>
      <c r="E61" s="60">
        <f>B61-C61</f>
        <v>248</v>
      </c>
      <c r="F61" s="61"/>
      <c r="G61" s="61">
        <f>E61*2/3</f>
        <v>165.33333333333334</v>
      </c>
      <c r="H61" s="62">
        <f>INT(D61*2/3/12)</f>
        <v>0</v>
      </c>
      <c r="I61" s="63">
        <f>INT(D61*2/3-(H61*12))</f>
        <v>5</v>
      </c>
      <c r="J61" s="64">
        <f>ROUND((D61*2/3-(H61*12)-I61)*30,0)</f>
        <v>13</v>
      </c>
      <c r="K61" s="86">
        <f>B61-G61</f>
        <v>42570.666666666664</v>
      </c>
      <c r="L61" s="65"/>
      <c r="M61" s="66">
        <f>E61*4/3</f>
        <v>330.66666666666669</v>
      </c>
      <c r="N61" s="62">
        <f>INT(D61*4/3/12)</f>
        <v>0</v>
      </c>
      <c r="O61" s="63">
        <f>INT(D61*4/3-(N61*12))</f>
        <v>10</v>
      </c>
      <c r="P61" s="64">
        <f>ROUND((D61*4/3-(N61*12)-O61)*30,0)</f>
        <v>25</v>
      </c>
      <c r="Q61" s="87">
        <f>B61-M61</f>
        <v>42405.333333333336</v>
      </c>
      <c r="R61" s="61"/>
      <c r="S61" s="61">
        <f>E49*1/3</f>
        <v>143.33333333333334</v>
      </c>
      <c r="T61" s="62">
        <f>INT(D49*1/3/12)</f>
        <v>0</v>
      </c>
      <c r="U61" s="63">
        <f>INT(D49*1/3-(T61*12))</f>
        <v>4</v>
      </c>
      <c r="V61" s="64">
        <f>ROUND((D49*1/3-(T61*12)-U61)*30,0)</f>
        <v>21</v>
      </c>
      <c r="W61" s="87">
        <f>B49-S61</f>
        <v>42592.666666666664</v>
      </c>
      <c r="X61" s="67"/>
      <c r="Y61" s="66"/>
      <c r="Z61" s="70"/>
      <c r="AA61" s="70"/>
      <c r="AB61" s="73"/>
      <c r="AC61" s="67"/>
      <c r="AE61" s="101"/>
    </row>
    <row r="62" spans="1:41" hidden="1" x14ac:dyDescent="0.25">
      <c r="F62" s="12"/>
      <c r="O62"/>
      <c r="AE62" s="101"/>
    </row>
    <row r="63" spans="1:41" ht="15.75" hidden="1" thickBot="1" x14ac:dyDescent="0.3">
      <c r="F63" s="12"/>
      <c r="O63"/>
      <c r="AE63" s="101"/>
    </row>
    <row r="64" spans="1:41" ht="27.75" hidden="1" customHeight="1" x14ac:dyDescent="0.25">
      <c r="F64" s="12"/>
      <c r="H64" s="384" t="s">
        <v>139</v>
      </c>
      <c r="I64" s="385"/>
      <c r="J64" s="385"/>
      <c r="K64" s="386"/>
      <c r="O64"/>
      <c r="AE64" s="101"/>
    </row>
    <row r="65" spans="1:31" ht="23.25" hidden="1" thickBot="1" x14ac:dyDescent="0.3">
      <c r="F65" s="12"/>
      <c r="H65" s="50" t="s">
        <v>81</v>
      </c>
      <c r="I65" s="51" t="s">
        <v>82</v>
      </c>
      <c r="J65" s="51" t="s">
        <v>83</v>
      </c>
      <c r="K65" s="55" t="s">
        <v>84</v>
      </c>
      <c r="O65"/>
      <c r="AE65" s="101"/>
    </row>
    <row r="66" spans="1:31" ht="15.75" hidden="1" thickBot="1" x14ac:dyDescent="0.3">
      <c r="F66" s="12"/>
      <c r="O66"/>
      <c r="AE66" s="101"/>
    </row>
    <row r="67" spans="1:31" ht="16.5" hidden="1" thickTop="1" thickBot="1" x14ac:dyDescent="0.3">
      <c r="B67" s="41">
        <f>A46</f>
        <v>42736</v>
      </c>
      <c r="C67" s="58">
        <f>N1+(12*30.5)-1</f>
        <v>42671</v>
      </c>
      <c r="D67" s="59">
        <f>E67/30.5</f>
        <v>2.1311475409836067</v>
      </c>
      <c r="E67" s="60">
        <f>B67-C67</f>
        <v>65</v>
      </c>
      <c r="F67" s="12"/>
      <c r="G67" s="68">
        <f>E67</f>
        <v>65</v>
      </c>
      <c r="H67" s="62">
        <f>INT(D67*2/3/12)</f>
        <v>0</v>
      </c>
      <c r="I67" s="63">
        <f>INT(D67*2/3-(H67*12))</f>
        <v>1</v>
      </c>
      <c r="J67" s="64">
        <f>ROUND((D67*2/3-(H67*12)-I67)*30,0)</f>
        <v>13</v>
      </c>
      <c r="K67" s="86">
        <f>B67-G67</f>
        <v>42671</v>
      </c>
      <c r="O67"/>
      <c r="AE67" s="101"/>
    </row>
    <row r="68" spans="1:31" hidden="1" x14ac:dyDescent="0.25">
      <c r="F68" s="12"/>
      <c r="O68"/>
      <c r="AE68" s="101"/>
    </row>
    <row r="69" spans="1:31" ht="15.75" hidden="1" thickBot="1" x14ac:dyDescent="0.3">
      <c r="F69" s="12"/>
      <c r="O69"/>
      <c r="AE69" s="101"/>
    </row>
    <row r="70" spans="1:31" ht="27.75" hidden="1" customHeight="1" x14ac:dyDescent="0.25">
      <c r="F70" s="12"/>
      <c r="H70" s="384" t="s">
        <v>94</v>
      </c>
      <c r="I70" s="385"/>
      <c r="J70" s="385"/>
      <c r="K70" s="386"/>
      <c r="N70" s="384" t="s">
        <v>95</v>
      </c>
      <c r="O70" s="385"/>
      <c r="P70" s="385"/>
      <c r="Q70" s="386"/>
      <c r="AE70" s="101"/>
    </row>
    <row r="71" spans="1:31" ht="23.25" hidden="1" thickBot="1" x14ac:dyDescent="0.3">
      <c r="F71" s="12"/>
      <c r="H71" s="50" t="s">
        <v>81</v>
      </c>
      <c r="I71" s="51" t="s">
        <v>82</v>
      </c>
      <c r="J71" s="51" t="s">
        <v>83</v>
      </c>
      <c r="K71" s="55" t="s">
        <v>84</v>
      </c>
      <c r="N71" s="50" t="s">
        <v>81</v>
      </c>
      <c r="O71" s="51" t="s">
        <v>82</v>
      </c>
      <c r="P71" s="51" t="s">
        <v>83</v>
      </c>
      <c r="Q71" s="55" t="s">
        <v>84</v>
      </c>
      <c r="AE71" s="101"/>
    </row>
    <row r="72" spans="1:31" ht="6" hidden="1" customHeight="1" thickBot="1" x14ac:dyDescent="0.3">
      <c r="F72" s="12"/>
      <c r="O72"/>
      <c r="AE72" s="101"/>
    </row>
    <row r="73" spans="1:31" ht="16.5" hidden="1" thickTop="1" thickBot="1" x14ac:dyDescent="0.3">
      <c r="A73" s="121"/>
      <c r="B73" s="41">
        <f>A46</f>
        <v>42736</v>
      </c>
      <c r="C73" s="58">
        <f>N1+(18*30.5)-1</f>
        <v>42854</v>
      </c>
      <c r="D73" s="59">
        <f>E73/30.5</f>
        <v>-3.8688524590163933</v>
      </c>
      <c r="E73" s="60">
        <f>B73-C73</f>
        <v>-118</v>
      </c>
      <c r="F73" s="61"/>
      <c r="G73" s="61">
        <f>E73*5/3</f>
        <v>-196.66666666666666</v>
      </c>
      <c r="H73" s="62">
        <f>INT(D73*5/3/12)</f>
        <v>-1</v>
      </c>
      <c r="I73" s="63">
        <f>INT(D73*5/3-(H73*12))</f>
        <v>5</v>
      </c>
      <c r="J73" s="64">
        <f>ROUND((D73*5/3-(H73*12)-I73)*30,0)</f>
        <v>17</v>
      </c>
      <c r="K73" s="86">
        <f>B73-G73</f>
        <v>42932.666666666664</v>
      </c>
      <c r="L73" s="65"/>
      <c r="M73" s="66">
        <f>E73*8/3</f>
        <v>-314.66666666666669</v>
      </c>
      <c r="N73" s="62">
        <f>INT(D73*8/3/12)</f>
        <v>-1</v>
      </c>
      <c r="O73" s="63">
        <f>INT(D73*8/3-(N73*12))</f>
        <v>1</v>
      </c>
      <c r="P73" s="64">
        <f>ROUND((D73*8/3-(N73*12)-O73)*30,0)</f>
        <v>20</v>
      </c>
      <c r="Q73" s="87">
        <f>B73-M73</f>
        <v>43050.666666666664</v>
      </c>
      <c r="R73" s="61"/>
      <c r="S73" s="61"/>
      <c r="T73" s="70"/>
      <c r="U73" s="70"/>
      <c r="V73" s="73"/>
      <c r="W73" s="67"/>
      <c r="X73" s="67"/>
      <c r="Y73" s="66"/>
      <c r="Z73" s="70"/>
      <c r="AA73" s="70"/>
      <c r="AB73" s="73"/>
      <c r="AC73" s="67"/>
      <c r="AE73" s="101"/>
    </row>
    <row r="74" spans="1:31" hidden="1" x14ac:dyDescent="0.25">
      <c r="F74" s="12"/>
      <c r="O74"/>
      <c r="AE74" s="101"/>
    </row>
    <row r="75" spans="1:31" ht="15.75" hidden="1" thickBot="1" x14ac:dyDescent="0.3">
      <c r="F75" s="12"/>
      <c r="O75"/>
      <c r="AE75" s="101"/>
    </row>
    <row r="76" spans="1:31" ht="27.75" hidden="1" customHeight="1" x14ac:dyDescent="0.25">
      <c r="F76" s="12"/>
      <c r="H76" s="384" t="s">
        <v>96</v>
      </c>
      <c r="I76" s="385"/>
      <c r="J76" s="385"/>
      <c r="K76" s="386"/>
      <c r="N76" s="384" t="s">
        <v>140</v>
      </c>
      <c r="O76" s="385"/>
      <c r="P76" s="385"/>
      <c r="Q76" s="386"/>
      <c r="AE76" s="101"/>
    </row>
    <row r="77" spans="1:31" ht="23.25" hidden="1" thickBot="1" x14ac:dyDescent="0.3">
      <c r="F77" s="12"/>
      <c r="H77" s="50" t="s">
        <v>81</v>
      </c>
      <c r="I77" s="51" t="s">
        <v>82</v>
      </c>
      <c r="J77" s="51" t="s">
        <v>83</v>
      </c>
      <c r="K77" s="55" t="s">
        <v>84</v>
      </c>
      <c r="N77" s="50" t="s">
        <v>81</v>
      </c>
      <c r="O77" s="51" t="s">
        <v>82</v>
      </c>
      <c r="P77" s="51" t="s">
        <v>83</v>
      </c>
      <c r="Q77" s="55" t="s">
        <v>84</v>
      </c>
      <c r="AE77" s="101"/>
    </row>
    <row r="78" spans="1:31" ht="6" hidden="1" customHeight="1" thickBot="1" x14ac:dyDescent="0.3">
      <c r="F78" s="12"/>
      <c r="O78"/>
      <c r="AE78" s="101"/>
    </row>
    <row r="79" spans="1:31" ht="16.5" hidden="1" thickTop="1" thickBot="1" x14ac:dyDescent="0.3">
      <c r="A79" s="121"/>
      <c r="B79" s="41">
        <f>A46</f>
        <v>42736</v>
      </c>
      <c r="C79" s="58">
        <f>N1+(24*30.5)-1</f>
        <v>43037</v>
      </c>
      <c r="D79" s="59">
        <f>E79/30.5</f>
        <v>-9.8688524590163933</v>
      </c>
      <c r="E79" s="60">
        <f>B79-C79</f>
        <v>-301</v>
      </c>
      <c r="F79" s="61"/>
      <c r="G79" s="61">
        <f>E79*5/4</f>
        <v>-376.25</v>
      </c>
      <c r="H79" s="62">
        <f>INT(D79*5/4/12)</f>
        <v>-2</v>
      </c>
      <c r="I79" s="63">
        <f>INT(D79*5/4-(H79*12))</f>
        <v>11</v>
      </c>
      <c r="J79" s="64">
        <f>ROUND((D79*5/4-(H79*12)-I79)*30,0)</f>
        <v>20</v>
      </c>
      <c r="K79" s="86">
        <f>B79-G79</f>
        <v>43112.25</v>
      </c>
      <c r="L79" s="61"/>
      <c r="M79" s="68">
        <f>E79</f>
        <v>-301</v>
      </c>
      <c r="N79" s="62">
        <f>INT(J79/12)</f>
        <v>1</v>
      </c>
      <c r="O79" s="63">
        <f>INT(J79-(N79*12))</f>
        <v>8</v>
      </c>
      <c r="P79" s="64">
        <f>ROUND((J79-(N79*12)-O79)*30,0)</f>
        <v>0</v>
      </c>
      <c r="Q79" s="86">
        <f>B79-M79</f>
        <v>43037</v>
      </c>
      <c r="R79" s="61"/>
      <c r="S79" s="61"/>
      <c r="T79" s="70"/>
      <c r="U79" s="70"/>
      <c r="V79" s="73"/>
      <c r="W79" s="67"/>
      <c r="X79" s="67"/>
      <c r="Y79" s="66"/>
      <c r="Z79" s="70"/>
      <c r="AA79" s="70"/>
      <c r="AB79" s="73"/>
      <c r="AC79" s="67"/>
      <c r="AE79" s="101"/>
    </row>
    <row r="80" spans="1:31" hidden="1" x14ac:dyDescent="0.25">
      <c r="F80" s="12"/>
      <c r="O80"/>
      <c r="AE80" s="101"/>
    </row>
    <row r="81" spans="2:31" ht="15.75" hidden="1" thickBot="1" x14ac:dyDescent="0.3">
      <c r="O81"/>
      <c r="AE81" s="101"/>
    </row>
    <row r="82" spans="2:31" ht="27.75" hidden="1" customHeight="1" x14ac:dyDescent="0.25">
      <c r="F82" s="12"/>
      <c r="H82" s="384" t="s">
        <v>164</v>
      </c>
      <c r="I82" s="385"/>
      <c r="J82" s="385"/>
      <c r="K82" s="386"/>
      <c r="O82"/>
      <c r="AE82" s="101"/>
    </row>
    <row r="83" spans="2:31" ht="23.25" hidden="1" thickBot="1" x14ac:dyDescent="0.3">
      <c r="F83" s="12"/>
      <c r="H83" s="50" t="s">
        <v>81</v>
      </c>
      <c r="I83" s="51" t="s">
        <v>82</v>
      </c>
      <c r="J83" s="51" t="s">
        <v>83</v>
      </c>
      <c r="K83" s="55" t="s">
        <v>84</v>
      </c>
      <c r="O83"/>
      <c r="AE83" s="101"/>
    </row>
    <row r="84" spans="2:31" ht="15.75" hidden="1" thickBot="1" x14ac:dyDescent="0.3">
      <c r="F84" s="12"/>
      <c r="O84"/>
      <c r="AE84" s="101"/>
    </row>
    <row r="85" spans="2:31" ht="16.5" hidden="1" thickTop="1" thickBot="1" x14ac:dyDescent="0.3">
      <c r="B85" s="41">
        <f>A46</f>
        <v>42736</v>
      </c>
      <c r="C85" s="58">
        <f>N1+(36*30.5)-1</f>
        <v>43403</v>
      </c>
      <c r="D85" s="59">
        <f>E85/30.5</f>
        <v>-21.868852459016395</v>
      </c>
      <c r="E85" s="60">
        <f>B85-C85</f>
        <v>-667</v>
      </c>
      <c r="F85" s="61"/>
      <c r="G85" s="61">
        <f>E85*3</f>
        <v>-2001</v>
      </c>
      <c r="H85" s="62">
        <f>INT(D85*5/4/12)</f>
        <v>-3</v>
      </c>
      <c r="I85" s="63">
        <f>INT(D85*5/4-(H85*12))</f>
        <v>8</v>
      </c>
      <c r="J85" s="64">
        <f>ROUND((D85*5/4-(H85*12)-I85)*30,0)</f>
        <v>20</v>
      </c>
      <c r="K85" s="86">
        <f>B85-G85</f>
        <v>44737</v>
      </c>
      <c r="O85"/>
      <c r="AE85" s="101"/>
    </row>
    <row r="86" spans="2:31" hidden="1" x14ac:dyDescent="0.25">
      <c r="O86"/>
      <c r="AE86" s="101"/>
    </row>
    <row r="87" spans="2:31" s="121" customFormat="1" hidden="1" x14ac:dyDescent="0.25"/>
    <row r="88" spans="2:31" hidden="1" x14ac:dyDescent="0.25"/>
    <row r="89" spans="2:31" hidden="1" x14ac:dyDescent="0.25"/>
  </sheetData>
  <sheetProtection password="EB30" sheet="1" objects="1" scenarios="1" selectLockedCells="1"/>
  <mergeCells count="30">
    <mergeCell ref="Z46:AC46"/>
    <mergeCell ref="AF46:AI46"/>
    <mergeCell ref="Q12:Q15"/>
    <mergeCell ref="AL46:AO46"/>
    <mergeCell ref="H52:K52"/>
    <mergeCell ref="N52:Q52"/>
    <mergeCell ref="T52:W52"/>
    <mergeCell ref="Z52:AC52"/>
    <mergeCell ref="AF52:AI52"/>
    <mergeCell ref="H46:K46"/>
    <mergeCell ref="N46:Q46"/>
    <mergeCell ref="T46:W46"/>
    <mergeCell ref="H82:K82"/>
    <mergeCell ref="H58:K58"/>
    <mergeCell ref="N58:Q58"/>
    <mergeCell ref="T58:W58"/>
    <mergeCell ref="H64:K64"/>
    <mergeCell ref="H70:K70"/>
    <mergeCell ref="N70:Q70"/>
    <mergeCell ref="J1:M1"/>
    <mergeCell ref="N1:R1"/>
    <mergeCell ref="H76:K76"/>
    <mergeCell ref="N76:Q76"/>
    <mergeCell ref="B10:G10"/>
    <mergeCell ref="B11:G11"/>
    <mergeCell ref="F13:G13"/>
    <mergeCell ref="M13:N13"/>
    <mergeCell ref="J7:O7"/>
    <mergeCell ref="A46:B46"/>
    <mergeCell ref="C46:D4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AO89"/>
  <sheetViews>
    <sheetView showGridLines="0" zoomScale="80" zoomScaleNormal="80" workbookViewId="0">
      <selection activeCell="L1" sqref="L1:P1"/>
    </sheetView>
  </sheetViews>
  <sheetFormatPr baseColWidth="10" defaultRowHeight="15" x14ac:dyDescent="0.25"/>
  <cols>
    <col min="1" max="10" width="11.42578125" style="36"/>
    <col min="11" max="11" width="11.42578125" style="91"/>
    <col min="12" max="13" width="11.42578125" style="36"/>
    <col min="14" max="14" width="5.28515625" style="36" customWidth="1"/>
    <col min="15" max="15" width="19.5703125" style="36" customWidth="1"/>
    <col min="16" max="17" width="11.42578125" style="36"/>
    <col min="18" max="18" width="3.7109375" style="36" customWidth="1"/>
    <col min="19" max="19" width="19" style="36" customWidth="1"/>
    <col min="20" max="16384" width="11.42578125" style="36"/>
  </cols>
  <sheetData>
    <row r="1" spans="2:16" ht="27" thickBot="1" x14ac:dyDescent="0.3">
      <c r="C1" s="421" t="s">
        <v>119</v>
      </c>
      <c r="D1" s="421"/>
      <c r="E1" s="421"/>
      <c r="F1" s="271" t="s">
        <v>192</v>
      </c>
      <c r="H1" s="348" t="s">
        <v>165</v>
      </c>
      <c r="I1" s="349"/>
      <c r="J1" s="349"/>
      <c r="K1" s="361"/>
      <c r="L1" s="362">
        <v>41680</v>
      </c>
      <c r="M1" s="363"/>
      <c r="N1" s="363"/>
      <c r="O1" s="363"/>
      <c r="P1" s="363"/>
    </row>
    <row r="2" spans="2:16" ht="15.75" thickBot="1" x14ac:dyDescent="0.3">
      <c r="E2" s="35"/>
      <c r="I2" s="85"/>
    </row>
    <row r="3" spans="2:16" ht="29.25" thickBot="1" x14ac:dyDescent="0.3">
      <c r="B3" s="352" t="s">
        <v>207</v>
      </c>
      <c r="C3" s="353"/>
      <c r="D3" s="353"/>
      <c r="E3" s="353"/>
      <c r="F3" s="354"/>
      <c r="I3" s="85"/>
      <c r="K3" s="193"/>
    </row>
    <row r="4" spans="2:16" ht="24.75" customHeight="1" x14ac:dyDescent="0.25">
      <c r="B4" s="85"/>
      <c r="E4" s="85"/>
      <c r="F4" s="69"/>
      <c r="G4" s="357" t="s">
        <v>173</v>
      </c>
      <c r="H4" s="357"/>
      <c r="I4" s="357"/>
      <c r="J4" s="357"/>
      <c r="K4" s="357"/>
      <c r="L4" s="357"/>
      <c r="O4" s="358" t="s">
        <v>166</v>
      </c>
    </row>
    <row r="5" spans="2:16" ht="15" customHeight="1" x14ac:dyDescent="0.25">
      <c r="B5" s="85"/>
      <c r="E5" s="85"/>
      <c r="G5" s="92"/>
      <c r="K5" s="36"/>
      <c r="O5" s="359"/>
    </row>
    <row r="6" spans="2:16" ht="26.25" x14ac:dyDescent="0.4">
      <c r="B6" s="254" t="s">
        <v>120</v>
      </c>
      <c r="C6" s="422">
        <v>42370</v>
      </c>
      <c r="D6" s="418"/>
      <c r="G6" s="92"/>
      <c r="J6" s="422">
        <v>42736</v>
      </c>
      <c r="K6" s="418"/>
      <c r="O6" s="359"/>
    </row>
    <row r="7" spans="2:16" s="69" customFormat="1" ht="15" customHeight="1" thickBot="1" x14ac:dyDescent="0.3">
      <c r="B7" s="131" t="s">
        <v>37</v>
      </c>
      <c r="C7" s="131" t="s">
        <v>38</v>
      </c>
      <c r="D7" s="131" t="s">
        <v>39</v>
      </c>
      <c r="E7" s="131" t="s">
        <v>40</v>
      </c>
      <c r="F7" s="131" t="s">
        <v>39</v>
      </c>
      <c r="G7" s="158"/>
      <c r="H7" s="140"/>
      <c r="I7" s="131" t="s">
        <v>37</v>
      </c>
      <c r="J7" s="131" t="s">
        <v>38</v>
      </c>
      <c r="K7" s="131" t="s">
        <v>39</v>
      </c>
      <c r="L7" s="131" t="s">
        <v>40</v>
      </c>
      <c r="M7" s="131" t="s">
        <v>39</v>
      </c>
      <c r="O7" s="360"/>
    </row>
    <row r="8" spans="2:16" s="69" customFormat="1" ht="15.75" customHeight="1" x14ac:dyDescent="0.25">
      <c r="B8" s="132"/>
      <c r="C8" s="132"/>
      <c r="D8" s="131" t="s">
        <v>41</v>
      </c>
      <c r="E8" s="131" t="s">
        <v>42</v>
      </c>
      <c r="F8" s="131" t="s">
        <v>43</v>
      </c>
      <c r="G8" s="158"/>
      <c r="H8" s="140"/>
      <c r="I8" s="132"/>
      <c r="J8" s="132"/>
      <c r="K8" s="131" t="s">
        <v>41</v>
      </c>
      <c r="L8" s="131" t="s">
        <v>42</v>
      </c>
      <c r="M8" s="131" t="s">
        <v>43</v>
      </c>
    </row>
    <row r="9" spans="2:16" ht="21" x14ac:dyDescent="0.35">
      <c r="B9" s="196">
        <v>1</v>
      </c>
      <c r="C9" s="127" t="s">
        <v>44</v>
      </c>
      <c r="D9" s="127">
        <f>LOOKUP(F9,'IB-IM et VP'!A:A,'IB-IM et VP'!C:C)</f>
        <v>333</v>
      </c>
      <c r="E9" s="128">
        <f>D9*'IB-IM et VP'!P3</f>
        <v>1551.1389749999998</v>
      </c>
      <c r="F9" s="127">
        <v>358</v>
      </c>
      <c r="G9" s="227" t="s">
        <v>57</v>
      </c>
      <c r="H9" s="124"/>
      <c r="I9" s="404">
        <v>1</v>
      </c>
      <c r="J9" s="127" t="s">
        <v>45</v>
      </c>
      <c r="K9" s="127">
        <f>LOOKUP(M9,'IB-IM et VP'!A:A,'IB-IM et VP'!C:C)</f>
        <v>347</v>
      </c>
      <c r="L9" s="128">
        <f>K9*'IB-IM et VP'!P3</f>
        <v>1616.3520249999997</v>
      </c>
      <c r="M9" s="145">
        <v>377</v>
      </c>
      <c r="O9" s="207">
        <f>A47</f>
        <v>42736</v>
      </c>
    </row>
    <row r="10" spans="2:16" ht="21" x14ac:dyDescent="0.35">
      <c r="B10" s="196">
        <v>2</v>
      </c>
      <c r="C10" s="127" t="s">
        <v>45</v>
      </c>
      <c r="D10" s="127">
        <f>LOOKUP(F10,'IB-IM et VP'!A:A,'IB-IM et VP'!C:C)</f>
        <v>338</v>
      </c>
      <c r="E10" s="128">
        <f>D10*'IB-IM et VP'!P4</f>
        <v>1574.4293499999997</v>
      </c>
      <c r="F10" s="127">
        <v>365</v>
      </c>
      <c r="G10" s="227" t="s">
        <v>73</v>
      </c>
      <c r="H10" s="124"/>
      <c r="I10" s="405"/>
      <c r="J10" s="127" t="s">
        <v>45</v>
      </c>
      <c r="K10" s="127">
        <f>LOOKUP(M10,'IB-IM et VP'!A:A,'IB-IM et VP'!C:C)</f>
        <v>347</v>
      </c>
      <c r="L10" s="128">
        <f>K10*'IB-IM et VP'!P4</f>
        <v>1616.3520249999997</v>
      </c>
      <c r="M10" s="145">
        <v>377</v>
      </c>
      <c r="N10" s="105"/>
      <c r="O10" s="208">
        <f>K50</f>
        <v>42208</v>
      </c>
    </row>
    <row r="11" spans="2:16" ht="21" x14ac:dyDescent="0.35">
      <c r="B11" s="196">
        <v>3</v>
      </c>
      <c r="C11" s="127" t="s">
        <v>45</v>
      </c>
      <c r="D11" s="127">
        <f>LOOKUP(F11,'IB-IM et VP'!A:A,'IB-IM et VP'!C:C)</f>
        <v>348</v>
      </c>
      <c r="E11" s="128">
        <f>D11*'IB-IM et VP'!P5</f>
        <v>1621.0100999999997</v>
      </c>
      <c r="F11" s="127">
        <v>378</v>
      </c>
      <c r="G11" s="227" t="s">
        <v>56</v>
      </c>
      <c r="H11" s="124"/>
      <c r="I11" s="196">
        <v>2</v>
      </c>
      <c r="J11" s="127" t="s">
        <v>45</v>
      </c>
      <c r="K11" s="127">
        <f>LOOKUP(M11,'IB-IM et VP'!A:A,'IB-IM et VP'!C:C)</f>
        <v>356</v>
      </c>
      <c r="L11" s="128">
        <f>K11*'IB-IM et VP'!P5</f>
        <v>1658.2746999999997</v>
      </c>
      <c r="M11" s="145">
        <v>389</v>
      </c>
      <c r="O11" s="207">
        <f>L1</f>
        <v>41680</v>
      </c>
    </row>
    <row r="12" spans="2:16" ht="21" x14ac:dyDescent="0.35">
      <c r="B12" s="196">
        <v>4</v>
      </c>
      <c r="C12" s="127" t="s">
        <v>45</v>
      </c>
      <c r="D12" s="127">
        <f>LOOKUP(F12,'IB-IM et VP'!A:A,'IB-IM et VP'!C:C)</f>
        <v>358</v>
      </c>
      <c r="E12" s="128">
        <f>D12*'IB-IM et VP'!P6</f>
        <v>1667.5908499999998</v>
      </c>
      <c r="F12" s="127">
        <v>393</v>
      </c>
      <c r="G12" s="227" t="s">
        <v>56</v>
      </c>
      <c r="H12" s="124"/>
      <c r="I12" s="196">
        <v>3</v>
      </c>
      <c r="J12" s="127" t="s">
        <v>45</v>
      </c>
      <c r="K12" s="127">
        <f>LOOKUP(M12,'IB-IM et VP'!A:A,'IB-IM et VP'!C:C)</f>
        <v>365</v>
      </c>
      <c r="L12" s="128">
        <f>K12*'IB-IM et VP'!P6</f>
        <v>1700.1973749999997</v>
      </c>
      <c r="M12" s="145">
        <v>404</v>
      </c>
      <c r="N12" s="105"/>
      <c r="O12" s="208">
        <f>L1</f>
        <v>41680</v>
      </c>
    </row>
    <row r="13" spans="2:16" ht="21" x14ac:dyDescent="0.35">
      <c r="B13" s="215">
        <v>5</v>
      </c>
      <c r="C13" s="127" t="s">
        <v>45</v>
      </c>
      <c r="D13" s="127">
        <f>LOOKUP(F13,'IB-IM et VP'!A:A,'IB-IM et VP'!C:C)</f>
        <v>372</v>
      </c>
      <c r="E13" s="128">
        <f>D13*'IB-IM et VP'!P7</f>
        <v>1732.8038999999997</v>
      </c>
      <c r="F13" s="127">
        <v>419</v>
      </c>
      <c r="G13" s="227" t="s">
        <v>56</v>
      </c>
      <c r="H13" s="124"/>
      <c r="I13" s="196">
        <v>4</v>
      </c>
      <c r="J13" s="127" t="s">
        <v>45</v>
      </c>
      <c r="K13" s="127">
        <f>LOOKUP(M13,'IB-IM et VP'!A:A,'IB-IM et VP'!C:C)</f>
        <v>377</v>
      </c>
      <c r="L13" s="128">
        <f>K13*'IB-IM et VP'!P7</f>
        <v>1756.0942749999997</v>
      </c>
      <c r="M13" s="145">
        <v>425</v>
      </c>
      <c r="O13" s="207">
        <f>L1</f>
        <v>41680</v>
      </c>
    </row>
    <row r="14" spans="2:16" ht="21" x14ac:dyDescent="0.35">
      <c r="B14" s="215">
        <v>6</v>
      </c>
      <c r="C14" s="127" t="s">
        <v>45</v>
      </c>
      <c r="D14" s="127">
        <f>LOOKUP(F14,'IB-IM et VP'!A:A,'IB-IM et VP'!C:C)</f>
        <v>386</v>
      </c>
      <c r="E14" s="128">
        <f>D14*'IB-IM et VP'!P8</f>
        <v>1798.0169499999997</v>
      </c>
      <c r="F14" s="127">
        <v>438</v>
      </c>
      <c r="G14" s="227" t="s">
        <v>56</v>
      </c>
      <c r="H14" s="124"/>
      <c r="I14" s="215">
        <v>5</v>
      </c>
      <c r="J14" s="127" t="s">
        <v>45</v>
      </c>
      <c r="K14" s="127">
        <f>LOOKUP(M14,'IB-IM et VP'!A:A,'IB-IM et VP'!C:C)</f>
        <v>391</v>
      </c>
      <c r="L14" s="128">
        <f>K14*'IB-IM et VP'!P8</f>
        <v>1821.3073249999998</v>
      </c>
      <c r="M14" s="145">
        <v>445</v>
      </c>
      <c r="N14" s="105"/>
      <c r="O14" s="208">
        <f>L1</f>
        <v>41680</v>
      </c>
    </row>
    <row r="15" spans="2:16" ht="21" x14ac:dyDescent="0.35">
      <c r="B15" s="215">
        <v>7</v>
      </c>
      <c r="C15" s="127" t="s">
        <v>45</v>
      </c>
      <c r="D15" s="127">
        <f>LOOKUP(F15,'IB-IM et VP'!A:A,'IB-IM et VP'!C:C)</f>
        <v>401</v>
      </c>
      <c r="E15" s="128">
        <f>D15*'IB-IM et VP'!P9</f>
        <v>1867.8880749999996</v>
      </c>
      <c r="F15" s="127">
        <v>458</v>
      </c>
      <c r="G15" s="227" t="s">
        <v>56</v>
      </c>
      <c r="H15" s="124"/>
      <c r="I15" s="215">
        <v>6</v>
      </c>
      <c r="J15" s="127" t="s">
        <v>45</v>
      </c>
      <c r="K15" s="127">
        <f>LOOKUP(M15,'IB-IM et VP'!A:A,'IB-IM et VP'!C:C)</f>
        <v>403</v>
      </c>
      <c r="L15" s="128">
        <f>K15*'IB-IM et VP'!P9</f>
        <v>1877.2042249999997</v>
      </c>
      <c r="M15" s="145">
        <v>460</v>
      </c>
      <c r="O15" s="207">
        <f>L1</f>
        <v>41680</v>
      </c>
    </row>
    <row r="16" spans="2:16" ht="21" x14ac:dyDescent="0.35">
      <c r="B16" s="215">
        <v>8</v>
      </c>
      <c r="C16" s="127" t="s">
        <v>45</v>
      </c>
      <c r="D16" s="127">
        <f>LOOKUP(F16,'IB-IM et VP'!A:A,'IB-IM et VP'!C:C)</f>
        <v>418</v>
      </c>
      <c r="E16" s="128">
        <f>D16*'IB-IM et VP'!P10</f>
        <v>1947.0753499999996</v>
      </c>
      <c r="F16" s="129">
        <v>483</v>
      </c>
      <c r="G16" s="227" t="s">
        <v>56</v>
      </c>
      <c r="H16" s="124"/>
      <c r="I16" s="215">
        <v>7</v>
      </c>
      <c r="J16" s="127" t="s">
        <v>45</v>
      </c>
      <c r="K16" s="127">
        <f>LOOKUP(M16,'IB-IM et VP'!A:A,'IB-IM et VP'!C:C)</f>
        <v>420</v>
      </c>
      <c r="L16" s="128">
        <f>K16*'IB-IM et VP'!P10</f>
        <v>1956.3914999999997</v>
      </c>
      <c r="M16" s="145">
        <v>486</v>
      </c>
      <c r="N16" s="105"/>
      <c r="O16" s="208">
        <f>L1</f>
        <v>41680</v>
      </c>
    </row>
    <row r="17" spans="2:15" ht="21" x14ac:dyDescent="0.35">
      <c r="B17" s="215">
        <v>9</v>
      </c>
      <c r="C17" s="127" t="s">
        <v>46</v>
      </c>
      <c r="D17" s="127">
        <f>LOOKUP(F17,'IB-IM et VP'!A:A,'IB-IM et VP'!C:C)</f>
        <v>437</v>
      </c>
      <c r="E17" s="128">
        <f>D17*'IB-IM et VP'!P11</f>
        <v>2035.5787749999997</v>
      </c>
      <c r="F17" s="129">
        <v>508</v>
      </c>
      <c r="G17" s="227" t="s">
        <v>56</v>
      </c>
      <c r="H17" s="124"/>
      <c r="I17" s="215">
        <v>8</v>
      </c>
      <c r="J17" s="127" t="s">
        <v>46</v>
      </c>
      <c r="K17" s="127">
        <f>LOOKUP(M17,'IB-IM et VP'!A:A,'IB-IM et VP'!C:C)</f>
        <v>439</v>
      </c>
      <c r="L17" s="128">
        <f>K17*'IB-IM et VP'!P11</f>
        <v>2044.8949249999996</v>
      </c>
      <c r="M17" s="145">
        <v>510</v>
      </c>
      <c r="O17" s="207">
        <f>L1</f>
        <v>41680</v>
      </c>
    </row>
    <row r="18" spans="2:15" ht="21" x14ac:dyDescent="0.35">
      <c r="B18" s="215">
        <v>10</v>
      </c>
      <c r="C18" s="127" t="s">
        <v>46</v>
      </c>
      <c r="D18" s="127">
        <f>LOOKUP(F18,'IB-IM et VP'!A:A,'IB-IM et VP'!C:C)</f>
        <v>458</v>
      </c>
      <c r="E18" s="128">
        <f>D18*'IB-IM et VP'!P12</f>
        <v>2133.3983499999995</v>
      </c>
      <c r="F18" s="129">
        <v>539</v>
      </c>
      <c r="G18" s="227" t="s">
        <v>56</v>
      </c>
      <c r="H18" s="124"/>
      <c r="I18" s="215">
        <v>9</v>
      </c>
      <c r="J18" s="127" t="s">
        <v>46</v>
      </c>
      <c r="K18" s="127">
        <f>LOOKUP(M18,'IB-IM et VP'!A:A,'IB-IM et VP'!C:C)</f>
        <v>461</v>
      </c>
      <c r="L18" s="128">
        <f>K18*'IB-IM et VP'!P12</f>
        <v>2147.3725749999999</v>
      </c>
      <c r="M18" s="134">
        <v>542</v>
      </c>
      <c r="N18" s="105"/>
      <c r="O18" s="208">
        <f>L1</f>
        <v>41680</v>
      </c>
    </row>
    <row r="19" spans="2:15" ht="21" x14ac:dyDescent="0.35">
      <c r="B19" s="215">
        <v>11</v>
      </c>
      <c r="C19" s="127" t="s">
        <v>46</v>
      </c>
      <c r="D19" s="127">
        <f>LOOKUP(F19,'IB-IM et VP'!A:A,'IB-IM et VP'!C:C)</f>
        <v>479</v>
      </c>
      <c r="E19" s="128">
        <f>D19*'IB-IM et VP'!P13</f>
        <v>2231.2179249999995</v>
      </c>
      <c r="F19" s="129">
        <v>566</v>
      </c>
      <c r="G19" s="227" t="s">
        <v>56</v>
      </c>
      <c r="H19" s="124"/>
      <c r="I19" s="215">
        <v>10</v>
      </c>
      <c r="J19" s="127" t="s">
        <v>46</v>
      </c>
      <c r="K19" s="127">
        <f>LOOKUP(M19,'IB-IM et VP'!A:A,'IB-IM et VP'!C:C)</f>
        <v>482</v>
      </c>
      <c r="L19" s="128">
        <f>K19*'IB-IM et VP'!P13</f>
        <v>2245.1921499999999</v>
      </c>
      <c r="M19" s="134">
        <v>570</v>
      </c>
      <c r="O19" s="207">
        <f>L1</f>
        <v>41680</v>
      </c>
    </row>
    <row r="20" spans="2:15" ht="21" x14ac:dyDescent="0.35">
      <c r="B20" s="215">
        <v>12</v>
      </c>
      <c r="C20" s="127" t="s">
        <v>47</v>
      </c>
      <c r="D20" s="127">
        <f>LOOKUP(F20,'IB-IM et VP'!A:A,'IB-IM et VP'!C:C)</f>
        <v>499</v>
      </c>
      <c r="E20" s="128">
        <f>D20*'IB-IM et VP'!P14</f>
        <v>2324.3794249999996</v>
      </c>
      <c r="F20" s="129">
        <v>592</v>
      </c>
      <c r="G20" s="227" t="s">
        <v>56</v>
      </c>
      <c r="H20" s="124"/>
      <c r="I20" s="215">
        <v>11</v>
      </c>
      <c r="J20" s="127" t="s">
        <v>47</v>
      </c>
      <c r="K20" s="127">
        <f>LOOKUP(M20,'IB-IM et VP'!A:A,'IB-IM et VP'!C:C)</f>
        <v>501</v>
      </c>
      <c r="L20" s="128">
        <f>K20*'IB-IM et VP'!P14</f>
        <v>2333.6955749999997</v>
      </c>
      <c r="M20" s="134">
        <v>594</v>
      </c>
      <c r="N20" s="105"/>
      <c r="O20" s="208">
        <f>L1</f>
        <v>41680</v>
      </c>
    </row>
    <row r="21" spans="2:15" ht="21" x14ac:dyDescent="0.35">
      <c r="B21" s="215">
        <v>13</v>
      </c>
      <c r="C21" s="130"/>
      <c r="D21" s="127">
        <f>LOOKUP(F21,'IB-IM et VP'!A:A,'IB-IM et VP'!C:C)</f>
        <v>521</v>
      </c>
      <c r="E21" s="128">
        <f>D21*'IB-IM et VP'!P15</f>
        <v>2426.8570749999994</v>
      </c>
      <c r="F21" s="129">
        <v>621</v>
      </c>
      <c r="G21" s="227" t="s">
        <v>56</v>
      </c>
      <c r="H21" s="124"/>
      <c r="I21" s="215">
        <v>12</v>
      </c>
      <c r="J21" s="130"/>
      <c r="K21" s="127">
        <f>LOOKUP(M21,'IB-IM et VP'!A:A,'IB-IM et VP'!C:C)</f>
        <v>529</v>
      </c>
      <c r="L21" s="128">
        <f>K21*'IB-IM et VP'!P15</f>
        <v>2464.1216749999994</v>
      </c>
      <c r="M21" s="134">
        <v>631</v>
      </c>
      <c r="N21" s="105"/>
      <c r="O21" s="208">
        <f>L1</f>
        <v>41680</v>
      </c>
    </row>
    <row r="22" spans="2:15" ht="21" x14ac:dyDescent="0.35">
      <c r="B22" s="124"/>
      <c r="C22" s="124"/>
      <c r="D22" s="124"/>
      <c r="E22" s="124"/>
      <c r="F22" s="124"/>
      <c r="G22" s="136"/>
      <c r="H22" s="124"/>
      <c r="I22" s="124"/>
      <c r="J22" s="124"/>
      <c r="K22" s="124"/>
      <c r="L22" s="124"/>
      <c r="M22" s="124"/>
      <c r="O22" s="217"/>
    </row>
    <row r="23" spans="2:15" ht="21" x14ac:dyDescent="0.35">
      <c r="C23" s="124"/>
      <c r="D23" s="124"/>
      <c r="E23" s="124"/>
      <c r="F23" s="124"/>
      <c r="G23" s="136"/>
      <c r="H23" s="124"/>
      <c r="I23" s="124"/>
      <c r="J23" s="124"/>
      <c r="K23" s="124"/>
      <c r="L23" s="124"/>
      <c r="M23" s="124"/>
      <c r="O23" s="217"/>
    </row>
    <row r="24" spans="2:15" ht="21" x14ac:dyDescent="0.35">
      <c r="B24" s="255" t="s">
        <v>121</v>
      </c>
      <c r="C24" s="124"/>
      <c r="D24" s="124"/>
      <c r="E24" s="124"/>
      <c r="F24" s="124"/>
      <c r="G24" s="136"/>
      <c r="H24" s="124"/>
      <c r="I24" s="124"/>
      <c r="J24" s="124"/>
      <c r="K24" s="124"/>
      <c r="L24" s="124"/>
      <c r="M24" s="124"/>
      <c r="O24" s="217"/>
    </row>
    <row r="25" spans="2:15" s="69" customFormat="1" ht="21" x14ac:dyDescent="0.35">
      <c r="B25" s="131" t="s">
        <v>37</v>
      </c>
      <c r="C25" s="131" t="s">
        <v>38</v>
      </c>
      <c r="D25" s="131" t="s">
        <v>39</v>
      </c>
      <c r="E25" s="131" t="s">
        <v>40</v>
      </c>
      <c r="F25" s="131" t="s">
        <v>39</v>
      </c>
      <c r="G25" s="142"/>
      <c r="H25" s="131"/>
      <c r="I25" s="131" t="s">
        <v>37</v>
      </c>
      <c r="J25" s="131" t="s">
        <v>38</v>
      </c>
      <c r="K25" s="131" t="s">
        <v>39</v>
      </c>
      <c r="L25" s="131" t="s">
        <v>40</v>
      </c>
      <c r="M25" s="131" t="s">
        <v>39</v>
      </c>
      <c r="O25" s="218"/>
    </row>
    <row r="26" spans="2:15" s="69" customFormat="1" ht="21" x14ac:dyDescent="0.35">
      <c r="B26" s="132"/>
      <c r="C26" s="132"/>
      <c r="D26" s="131" t="s">
        <v>41</v>
      </c>
      <c r="E26" s="131" t="s">
        <v>42</v>
      </c>
      <c r="F26" s="131" t="s">
        <v>43</v>
      </c>
      <c r="G26" s="142"/>
      <c r="H26" s="131"/>
      <c r="I26" s="132"/>
      <c r="J26" s="132"/>
      <c r="K26" s="131" t="s">
        <v>41</v>
      </c>
      <c r="L26" s="131" t="s">
        <v>42</v>
      </c>
      <c r="M26" s="131" t="s">
        <v>43</v>
      </c>
      <c r="O26" s="218"/>
    </row>
    <row r="27" spans="2:15" ht="21" x14ac:dyDescent="0.35">
      <c r="B27" s="216" t="s">
        <v>168</v>
      </c>
      <c r="C27" s="163" t="s">
        <v>44</v>
      </c>
      <c r="D27" s="127">
        <f>LOOKUP(F27,'IB-IM et VP'!A:A,'IB-IM et VP'!C:C)</f>
        <v>333</v>
      </c>
      <c r="E27" s="128">
        <f>D27*'IB-IM et VP'!P22</f>
        <v>1551.1389749999998</v>
      </c>
      <c r="F27" s="130">
        <v>358</v>
      </c>
      <c r="G27" s="227" t="s">
        <v>57</v>
      </c>
      <c r="H27" s="124"/>
      <c r="I27" s="216" t="s">
        <v>168</v>
      </c>
      <c r="J27" s="163" t="s">
        <v>44</v>
      </c>
      <c r="K27" s="127">
        <f>LOOKUP(M27,'IB-IM et VP'!A:A,'IB-IM et VP'!C:C)</f>
        <v>347</v>
      </c>
      <c r="L27" s="128">
        <f>K27*'IB-IM et VP'!P22</f>
        <v>1616.3520249999997</v>
      </c>
      <c r="M27" s="130">
        <v>377</v>
      </c>
      <c r="O27" s="207">
        <f>A47</f>
        <v>42736</v>
      </c>
    </row>
    <row r="28" spans="2:15" ht="21" x14ac:dyDescent="0.35">
      <c r="B28" s="216" t="s">
        <v>169</v>
      </c>
      <c r="C28" s="163" t="s">
        <v>45</v>
      </c>
      <c r="D28" s="127">
        <f>LOOKUP(F28,'IB-IM et VP'!A:A,'IB-IM et VP'!C:C)</f>
        <v>338</v>
      </c>
      <c r="E28" s="128">
        <f>D28*'IB-IM et VP'!P23</f>
        <v>1574.4293499999997</v>
      </c>
      <c r="F28" s="130">
        <v>365</v>
      </c>
      <c r="G28" s="227" t="s">
        <v>56</v>
      </c>
      <c r="H28" s="124"/>
      <c r="I28" s="216" t="s">
        <v>168</v>
      </c>
      <c r="J28" s="163" t="s">
        <v>44</v>
      </c>
      <c r="K28" s="127">
        <f>LOOKUP(M28,'IB-IM et VP'!A:A,'IB-IM et VP'!C:C)</f>
        <v>347</v>
      </c>
      <c r="L28" s="128">
        <f>K28*'IB-IM et VP'!P23</f>
        <v>1616.3520249999997</v>
      </c>
      <c r="M28" s="130">
        <v>377</v>
      </c>
      <c r="N28" s="105"/>
      <c r="O28" s="208">
        <f>L1</f>
        <v>41680</v>
      </c>
    </row>
    <row r="29" spans="2:15" ht="21" x14ac:dyDescent="0.35">
      <c r="B29" s="216" t="s">
        <v>170</v>
      </c>
      <c r="C29" s="163" t="s">
        <v>45</v>
      </c>
      <c r="D29" s="127">
        <f>LOOKUP(F29,'IB-IM et VP'!A:A,'IB-IM et VP'!C:C)</f>
        <v>348</v>
      </c>
      <c r="E29" s="128">
        <f>D29*'IB-IM et VP'!P24</f>
        <v>1621.0100999999997</v>
      </c>
      <c r="F29" s="130">
        <v>378</v>
      </c>
      <c r="G29" s="227" t="s">
        <v>56</v>
      </c>
      <c r="H29" s="124"/>
      <c r="I29" s="216" t="s">
        <v>169</v>
      </c>
      <c r="J29" s="163" t="s">
        <v>45</v>
      </c>
      <c r="K29" s="127">
        <f>LOOKUP(M29,'IB-IM et VP'!A:A,'IB-IM et VP'!C:C)</f>
        <v>356</v>
      </c>
      <c r="L29" s="128">
        <f>K29*'IB-IM et VP'!P24</f>
        <v>1658.2746999999997</v>
      </c>
      <c r="M29" s="130">
        <v>389</v>
      </c>
      <c r="O29" s="207">
        <f>L1</f>
        <v>41680</v>
      </c>
    </row>
    <row r="30" spans="2:15" ht="21" x14ac:dyDescent="0.35">
      <c r="B30" s="216" t="s">
        <v>171</v>
      </c>
      <c r="C30" s="163" t="s">
        <v>45</v>
      </c>
      <c r="D30" s="127">
        <f>LOOKUP(F30,'IB-IM et VP'!A:A,'IB-IM et VP'!C:C)</f>
        <v>363</v>
      </c>
      <c r="E30" s="128">
        <f>D30*'IB-IM et VP'!P25</f>
        <v>1690.8812249999999</v>
      </c>
      <c r="F30" s="130">
        <v>401</v>
      </c>
      <c r="G30" s="227" t="s">
        <v>56</v>
      </c>
      <c r="H30" s="124"/>
      <c r="I30" s="216" t="s">
        <v>170</v>
      </c>
      <c r="J30" s="163" t="s">
        <v>45</v>
      </c>
      <c r="K30" s="127">
        <f>LOOKUP(M30,'IB-IM et VP'!A:A,'IB-IM et VP'!C:C)</f>
        <v>367</v>
      </c>
      <c r="L30" s="128">
        <f>K30*'IB-IM et VP'!P25</f>
        <v>1709.5135249999998</v>
      </c>
      <c r="M30" s="130">
        <v>408</v>
      </c>
      <c r="N30" s="105"/>
      <c r="O30" s="208">
        <f>L1</f>
        <v>41680</v>
      </c>
    </row>
    <row r="31" spans="2:15" ht="21" x14ac:dyDescent="0.35">
      <c r="B31" s="196">
        <v>1</v>
      </c>
      <c r="C31" s="127" t="s">
        <v>44</v>
      </c>
      <c r="D31" s="127">
        <f>LOOKUP(F31,'IB-IM et VP'!A:A,'IB-IM et VP'!C:C)</f>
        <v>381</v>
      </c>
      <c r="E31" s="128">
        <f>D31*'IB-IM et VP'!P26</f>
        <v>1774.7265749999997</v>
      </c>
      <c r="F31" s="127">
        <v>431</v>
      </c>
      <c r="G31" s="227" t="s">
        <v>57</v>
      </c>
      <c r="H31" s="124"/>
      <c r="I31" s="404">
        <v>1</v>
      </c>
      <c r="J31" s="163" t="s">
        <v>44</v>
      </c>
      <c r="K31" s="127">
        <f>LOOKUP(M31,'IB-IM et VP'!A:A,'IB-IM et VP'!C:C)</f>
        <v>396</v>
      </c>
      <c r="L31" s="128">
        <f>K31*'IB-IM et VP'!P26</f>
        <v>1844.5976999999998</v>
      </c>
      <c r="M31" s="145">
        <v>452</v>
      </c>
      <c r="O31" s="207">
        <f>A47</f>
        <v>42736</v>
      </c>
    </row>
    <row r="32" spans="2:15" ht="21" x14ac:dyDescent="0.35">
      <c r="B32" s="196">
        <v>2</v>
      </c>
      <c r="C32" s="127" t="s">
        <v>45</v>
      </c>
      <c r="D32" s="127">
        <f>LOOKUP(F32,'IB-IM et VP'!A:A,'IB-IM et VP'!C:C)</f>
        <v>394</v>
      </c>
      <c r="E32" s="128">
        <f>D32*'IB-IM et VP'!P27</f>
        <v>1835.2815499999997</v>
      </c>
      <c r="F32" s="127">
        <v>449</v>
      </c>
      <c r="G32" s="227" t="s">
        <v>56</v>
      </c>
      <c r="H32" s="124"/>
      <c r="I32" s="405"/>
      <c r="J32" s="163" t="s">
        <v>44</v>
      </c>
      <c r="K32" s="127">
        <f>LOOKUP(M32,'IB-IM et VP'!A:A,'IB-IM et VP'!C:C)</f>
        <v>396</v>
      </c>
      <c r="L32" s="128">
        <f>K32*'IB-IM et VP'!P27</f>
        <v>1844.5976999999998</v>
      </c>
      <c r="M32" s="145">
        <v>452</v>
      </c>
      <c r="N32" s="105"/>
      <c r="O32" s="208">
        <f>L1</f>
        <v>41680</v>
      </c>
    </row>
    <row r="33" spans="1:41" ht="21" x14ac:dyDescent="0.35">
      <c r="B33" s="196">
        <v>3</v>
      </c>
      <c r="C33" s="127" t="s">
        <v>45</v>
      </c>
      <c r="D33" s="127">
        <f>LOOKUP(F33,'IB-IM et VP'!A:A,'IB-IM et VP'!C:C)</f>
        <v>410</v>
      </c>
      <c r="E33" s="128">
        <f>D33*'IB-IM et VP'!P28</f>
        <v>1909.8107499999996</v>
      </c>
      <c r="F33" s="127">
        <v>469</v>
      </c>
      <c r="G33" s="227" t="s">
        <v>56</v>
      </c>
      <c r="H33" s="124"/>
      <c r="I33" s="196">
        <v>2</v>
      </c>
      <c r="J33" s="127" t="s">
        <v>45</v>
      </c>
      <c r="K33" s="127">
        <f>LOOKUP(M33,'IB-IM et VP'!A:A,'IB-IM et VP'!C:C)</f>
        <v>413</v>
      </c>
      <c r="L33" s="128">
        <f>K33*'IB-IM et VP'!P28</f>
        <v>1923.7849749999998</v>
      </c>
      <c r="M33" s="145">
        <v>475</v>
      </c>
      <c r="O33" s="207">
        <f>L1</f>
        <v>41680</v>
      </c>
    </row>
    <row r="34" spans="1:41" ht="21" x14ac:dyDescent="0.35">
      <c r="B34" s="196">
        <v>4</v>
      </c>
      <c r="C34" s="127" t="s">
        <v>45</v>
      </c>
      <c r="D34" s="127">
        <f>LOOKUP(F34,'IB-IM et VP'!A:A,'IB-IM et VP'!C:C)</f>
        <v>426</v>
      </c>
      <c r="E34" s="128">
        <f>D34*'IB-IM et VP'!P29</f>
        <v>1984.3399499999996</v>
      </c>
      <c r="F34" s="127">
        <v>494</v>
      </c>
      <c r="G34" s="227" t="s">
        <v>56</v>
      </c>
      <c r="H34" s="124"/>
      <c r="I34" s="196">
        <v>3</v>
      </c>
      <c r="J34" s="127" t="s">
        <v>45</v>
      </c>
      <c r="K34" s="127">
        <f>LOOKUP(M34,'IB-IM et VP'!A:A,'IB-IM et VP'!C:C)</f>
        <v>430</v>
      </c>
      <c r="L34" s="128">
        <f>K34*'IB-IM et VP'!P29</f>
        <v>2002.9722499999998</v>
      </c>
      <c r="M34" s="145">
        <v>499</v>
      </c>
      <c r="N34" s="105"/>
      <c r="O34" s="208">
        <f>L1</f>
        <v>41680</v>
      </c>
    </row>
    <row r="35" spans="1:41" ht="21" x14ac:dyDescent="0.35">
      <c r="B35" s="215">
        <v>5</v>
      </c>
      <c r="C35" s="127" t="s">
        <v>45</v>
      </c>
      <c r="D35" s="127">
        <f>LOOKUP(F35,'IB-IM et VP'!A:A,'IB-IM et VP'!C:C)</f>
        <v>448</v>
      </c>
      <c r="E35" s="128">
        <f>D35*'IB-IM et VP'!P30</f>
        <v>2086.8175999999999</v>
      </c>
      <c r="F35" s="127">
        <v>523</v>
      </c>
      <c r="G35" s="227" t="s">
        <v>56</v>
      </c>
      <c r="H35" s="124"/>
      <c r="I35" s="196">
        <v>4</v>
      </c>
      <c r="J35" s="127" t="s">
        <v>45</v>
      </c>
      <c r="K35" s="127">
        <f>LOOKUP(M35,'IB-IM et VP'!A:A,'IB-IM et VP'!C:C)</f>
        <v>451</v>
      </c>
      <c r="L35" s="128">
        <f>K35*'IB-IM et VP'!P30</f>
        <v>2100.7918249999998</v>
      </c>
      <c r="M35" s="145">
        <v>527</v>
      </c>
      <c r="O35" s="207">
        <f>L1</f>
        <v>41680</v>
      </c>
    </row>
    <row r="36" spans="1:41" ht="21" x14ac:dyDescent="0.35">
      <c r="B36" s="215">
        <v>6</v>
      </c>
      <c r="C36" s="127" t="s">
        <v>45</v>
      </c>
      <c r="D36" s="127">
        <f>LOOKUP(F36,'IB-IM et VP'!A:A,'IB-IM et VP'!C:C)</f>
        <v>469</v>
      </c>
      <c r="E36" s="128">
        <f>D36*'IB-IM et VP'!P31</f>
        <v>2184.6371749999998</v>
      </c>
      <c r="F36" s="127">
        <v>553</v>
      </c>
      <c r="G36" s="227" t="s">
        <v>56</v>
      </c>
      <c r="H36" s="124"/>
      <c r="I36" s="215">
        <v>5</v>
      </c>
      <c r="J36" s="127" t="s">
        <v>45</v>
      </c>
      <c r="K36" s="127">
        <f>LOOKUP(M36,'IB-IM et VP'!A:A,'IB-IM et VP'!C:C)</f>
        <v>473</v>
      </c>
      <c r="L36" s="128">
        <f>K36*'IB-IM et VP'!P3</f>
        <v>2203.2694749999996</v>
      </c>
      <c r="M36" s="145">
        <v>558</v>
      </c>
      <c r="N36" s="105"/>
      <c r="O36" s="208">
        <f>L1</f>
        <v>41680</v>
      </c>
    </row>
    <row r="37" spans="1:41" ht="21" x14ac:dyDescent="0.35">
      <c r="B37" s="215">
        <v>7</v>
      </c>
      <c r="C37" s="127" t="s">
        <v>45</v>
      </c>
      <c r="D37" s="127">
        <f>LOOKUP(F37,'IB-IM et VP'!A:A,'IB-IM et VP'!C:C)</f>
        <v>489</v>
      </c>
      <c r="E37" s="128">
        <f>D37*'IB-IM et VP'!P32</f>
        <v>2277.7986749999995</v>
      </c>
      <c r="F37" s="127">
        <v>579</v>
      </c>
      <c r="G37" s="227" t="s">
        <v>56</v>
      </c>
      <c r="H37" s="124"/>
      <c r="I37" s="215">
        <v>6</v>
      </c>
      <c r="J37" s="127" t="s">
        <v>45</v>
      </c>
      <c r="K37" s="127">
        <f>LOOKUP(M37,'IB-IM et VP'!A:A,'IB-IM et VP'!C:C)</f>
        <v>493</v>
      </c>
      <c r="L37" s="128">
        <f>K37*'IB-IM et VP'!P32</f>
        <v>2296.4309749999998</v>
      </c>
      <c r="M37" s="145">
        <v>584</v>
      </c>
      <c r="O37" s="207">
        <f>L1</f>
        <v>41680</v>
      </c>
    </row>
    <row r="38" spans="1:41" ht="21" x14ac:dyDescent="0.35">
      <c r="B38" s="215">
        <v>8</v>
      </c>
      <c r="C38" s="127" t="s">
        <v>89</v>
      </c>
      <c r="D38" s="127">
        <f>LOOKUP(F38,'IB-IM et VP'!A:A,'IB-IM et VP'!C:C)</f>
        <v>510</v>
      </c>
      <c r="E38" s="128">
        <f>D38*'IB-IM et VP'!P33</f>
        <v>2375.6182499999995</v>
      </c>
      <c r="F38" s="127">
        <v>607</v>
      </c>
      <c r="G38" s="227" t="s">
        <v>56</v>
      </c>
      <c r="H38" s="124"/>
      <c r="I38" s="215">
        <v>7</v>
      </c>
      <c r="J38" s="127" t="s">
        <v>89</v>
      </c>
      <c r="K38" s="127">
        <f>LOOKUP(M38,'IB-IM et VP'!A:A,'IB-IM et VP'!C:C)</f>
        <v>513</v>
      </c>
      <c r="L38" s="128">
        <f>K38*'IB-IM et VP'!P33</f>
        <v>2389.5924749999995</v>
      </c>
      <c r="M38" s="145">
        <v>611</v>
      </c>
      <c r="N38" s="105"/>
      <c r="O38" s="208">
        <f>L1</f>
        <v>41680</v>
      </c>
    </row>
    <row r="39" spans="1:41" ht="21" x14ac:dyDescent="0.35">
      <c r="B39" s="215">
        <v>9</v>
      </c>
      <c r="C39" s="127" t="s">
        <v>89</v>
      </c>
      <c r="D39" s="127">
        <f>LOOKUP(F39,'IB-IM et VP'!A:A,'IB-IM et VP'!C:C)</f>
        <v>530</v>
      </c>
      <c r="E39" s="128">
        <f>D39*'IB-IM et VP'!P34</f>
        <v>2468.7797499999997</v>
      </c>
      <c r="F39" s="127">
        <v>633</v>
      </c>
      <c r="G39" s="227" t="s">
        <v>56</v>
      </c>
      <c r="H39" s="124"/>
      <c r="I39" s="215">
        <v>8</v>
      </c>
      <c r="J39" s="127" t="s">
        <v>89</v>
      </c>
      <c r="K39" s="127">
        <f>LOOKUP(M39,'IB-IM et VP'!A:A,'IB-IM et VP'!C:C)</f>
        <v>533</v>
      </c>
      <c r="L39" s="128">
        <f>K39*'IB-IM et VP'!P34</f>
        <v>2482.7539749999996</v>
      </c>
      <c r="M39" s="145">
        <v>637</v>
      </c>
      <c r="O39" s="207">
        <f>L1</f>
        <v>41680</v>
      </c>
    </row>
    <row r="40" spans="1:41" ht="21" x14ac:dyDescent="0.35">
      <c r="B40" s="215">
        <v>10</v>
      </c>
      <c r="C40" s="127" t="s">
        <v>46</v>
      </c>
      <c r="D40" s="127">
        <f>LOOKUP(F40,'IB-IM et VP'!A:A,'IB-IM et VP'!C:C)</f>
        <v>546</v>
      </c>
      <c r="E40" s="128">
        <f>D40*'IB-IM et VP'!P35</f>
        <v>2543.3089499999996</v>
      </c>
      <c r="F40" s="127">
        <v>655</v>
      </c>
      <c r="G40" s="227" t="s">
        <v>56</v>
      </c>
      <c r="H40" s="124"/>
      <c r="I40" s="215">
        <v>9</v>
      </c>
      <c r="J40" s="127" t="s">
        <v>46</v>
      </c>
      <c r="K40" s="127">
        <f>LOOKUP(M40,'IB-IM et VP'!A:A,'IB-IM et VP'!C:C)</f>
        <v>549</v>
      </c>
      <c r="L40" s="128">
        <f>K40*'IB-IM et VP'!P35</f>
        <v>2557.2831749999996</v>
      </c>
      <c r="M40" s="145">
        <v>658</v>
      </c>
      <c r="N40" s="105"/>
      <c r="O40" s="208">
        <f>L1</f>
        <v>41680</v>
      </c>
    </row>
    <row r="41" spans="1:41" ht="21" x14ac:dyDescent="0.35">
      <c r="B41" s="215">
        <v>11</v>
      </c>
      <c r="C41" s="130"/>
      <c r="D41" s="127">
        <f>LOOKUP(F41,'IB-IM et VP'!A:A,'IB-IM et VP'!C:C)</f>
        <v>568</v>
      </c>
      <c r="E41" s="128">
        <f>D41*'IB-IM et VP'!P36</f>
        <v>2645.7865999999995</v>
      </c>
      <c r="F41" s="127">
        <v>683</v>
      </c>
      <c r="G41" s="227" t="s">
        <v>56</v>
      </c>
      <c r="H41" s="124"/>
      <c r="I41" s="215">
        <v>10</v>
      </c>
      <c r="J41" s="127" t="s">
        <v>46</v>
      </c>
      <c r="K41" s="127">
        <f>LOOKUP(M41,'IB-IM et VP'!A:A,'IB-IM et VP'!C:C)</f>
        <v>569</v>
      </c>
      <c r="L41" s="128">
        <f>K41*'IB-IM et VP'!P36</f>
        <v>2650.4446749999997</v>
      </c>
      <c r="M41" s="145">
        <v>684</v>
      </c>
      <c r="N41" s="105"/>
      <c r="O41" s="208">
        <f>L1</f>
        <v>41680</v>
      </c>
    </row>
    <row r="42" spans="1:41" ht="21" x14ac:dyDescent="0.35">
      <c r="B42" s="124"/>
      <c r="C42" s="124"/>
      <c r="D42" s="124"/>
      <c r="E42" s="124"/>
      <c r="F42" s="124"/>
      <c r="G42" s="136"/>
      <c r="H42" s="124"/>
      <c r="I42" s="215">
        <v>11</v>
      </c>
      <c r="J42" s="127"/>
      <c r="K42" s="127">
        <f>LOOKUP(M42,'IB-IM et VP'!A:A,'IB-IM et VP'!C:C)</f>
        <v>582</v>
      </c>
      <c r="L42" s="128">
        <f>K42*'IB-IM et VP'!P37</f>
        <v>2710.9996499999997</v>
      </c>
      <c r="M42" s="145">
        <v>701</v>
      </c>
    </row>
    <row r="43" spans="1:41" x14ac:dyDescent="0.25">
      <c r="B43" s="124"/>
      <c r="C43" s="124"/>
      <c r="D43" s="124"/>
      <c r="E43" s="124"/>
      <c r="F43" s="124"/>
      <c r="G43" s="136"/>
      <c r="H43" s="124"/>
      <c r="I43" s="124"/>
      <c r="J43" s="124"/>
      <c r="K43" s="124"/>
      <c r="L43" s="124"/>
      <c r="M43" s="124"/>
    </row>
    <row r="44" spans="1:41" hidden="1" x14ac:dyDescent="0.25">
      <c r="G44" s="91"/>
      <c r="K44" s="36"/>
    </row>
    <row r="45" spans="1:41" hidden="1" x14ac:dyDescent="0.25"/>
    <row r="46" spans="1:41" customFormat="1" ht="15.75" hidden="1" thickBot="1" x14ac:dyDescent="0.3">
      <c r="AE46" s="101"/>
    </row>
    <row r="47" spans="1:41" s="40" customFormat="1" ht="15" hidden="1" customHeight="1" thickBot="1" x14ac:dyDescent="0.3">
      <c r="A47" s="377">
        <v>42736</v>
      </c>
      <c r="B47" s="378"/>
      <c r="C47" s="379"/>
      <c r="D47" s="380"/>
      <c r="E47" s="42"/>
      <c r="F47" s="43"/>
      <c r="G47" s="43"/>
      <c r="H47" s="381" t="s">
        <v>75</v>
      </c>
      <c r="I47" s="382"/>
      <c r="J47" s="382"/>
      <c r="K47" s="383"/>
      <c r="L47" s="44"/>
      <c r="M47" s="45"/>
      <c r="N47" s="384" t="s">
        <v>76</v>
      </c>
      <c r="O47" s="385"/>
      <c r="P47" s="385"/>
      <c r="Q47" s="386"/>
      <c r="R47" s="44"/>
      <c r="S47" s="45"/>
      <c r="T47" s="384" t="s">
        <v>77</v>
      </c>
      <c r="U47" s="385"/>
      <c r="V47" s="385"/>
      <c r="W47" s="386"/>
      <c r="X47" s="46"/>
      <c r="Y47" s="45"/>
      <c r="Z47" s="384" t="s">
        <v>78</v>
      </c>
      <c r="AA47" s="385"/>
      <c r="AB47" s="385"/>
      <c r="AC47" s="386"/>
      <c r="AE47" s="102"/>
      <c r="AF47" s="384" t="s">
        <v>138</v>
      </c>
      <c r="AG47" s="385"/>
      <c r="AH47" s="385"/>
      <c r="AI47" s="386"/>
      <c r="AK47" s="102"/>
      <c r="AL47" s="384" t="s">
        <v>167</v>
      </c>
      <c r="AM47" s="385"/>
      <c r="AN47" s="385"/>
      <c r="AO47" s="386"/>
    </row>
    <row r="48" spans="1:41" customFormat="1" ht="23.25" hidden="1" thickBot="1" x14ac:dyDescent="0.3">
      <c r="A48" s="74"/>
      <c r="B48" s="47"/>
      <c r="C48" s="48" t="s">
        <v>79</v>
      </c>
      <c r="D48" s="49" t="s">
        <v>80</v>
      </c>
      <c r="E48" s="49"/>
      <c r="F48" s="49"/>
      <c r="G48" s="49"/>
      <c r="H48" s="50" t="s">
        <v>81</v>
      </c>
      <c r="I48" s="51" t="s">
        <v>82</v>
      </c>
      <c r="J48" s="51" t="s">
        <v>83</v>
      </c>
      <c r="K48" s="52" t="s">
        <v>84</v>
      </c>
      <c r="L48" s="53"/>
      <c r="M48" s="54"/>
      <c r="N48" s="50" t="s">
        <v>81</v>
      </c>
      <c r="O48" s="51" t="s">
        <v>82</v>
      </c>
      <c r="P48" s="51" t="s">
        <v>83</v>
      </c>
      <c r="Q48" s="55" t="s">
        <v>84</v>
      </c>
      <c r="R48" s="53"/>
      <c r="S48" s="54"/>
      <c r="T48" s="50" t="s">
        <v>81</v>
      </c>
      <c r="U48" s="51" t="s">
        <v>82</v>
      </c>
      <c r="V48" s="51" t="s">
        <v>83</v>
      </c>
      <c r="W48" s="55" t="s">
        <v>84</v>
      </c>
      <c r="X48" s="56"/>
      <c r="Y48" s="57"/>
      <c r="Z48" s="50" t="s">
        <v>81</v>
      </c>
      <c r="AA48" s="51" t="s">
        <v>82</v>
      </c>
      <c r="AB48" s="51" t="s">
        <v>83</v>
      </c>
      <c r="AC48" s="55" t="s">
        <v>84</v>
      </c>
      <c r="AE48" s="103"/>
      <c r="AF48" s="50" t="s">
        <v>81</v>
      </c>
      <c r="AG48" s="51" t="s">
        <v>82</v>
      </c>
      <c r="AH48" s="51" t="s">
        <v>83</v>
      </c>
      <c r="AI48" s="55" t="s">
        <v>84</v>
      </c>
      <c r="AK48" s="103"/>
      <c r="AL48" s="50" t="s">
        <v>81</v>
      </c>
      <c r="AM48" s="51" t="s">
        <v>82</v>
      </c>
      <c r="AN48" s="51" t="s">
        <v>83</v>
      </c>
      <c r="AO48" s="55" t="s">
        <v>84</v>
      </c>
    </row>
    <row r="49" spans="1:41" customFormat="1" ht="16.5" hidden="1" thickTop="1" thickBot="1" x14ac:dyDescent="0.3">
      <c r="H49" s="12"/>
      <c r="I49" s="12"/>
      <c r="J49" s="12"/>
      <c r="K49" s="12"/>
      <c r="N49" s="12"/>
      <c r="O49" s="12"/>
      <c r="P49" s="12"/>
      <c r="Q49" s="12"/>
      <c r="T49" s="12"/>
      <c r="U49" s="12"/>
      <c r="V49" s="12"/>
      <c r="W49" s="12"/>
      <c r="Z49" s="12"/>
      <c r="AA49" s="12"/>
      <c r="AB49" s="12"/>
      <c r="AC49" s="12"/>
      <c r="AE49" s="101"/>
      <c r="AF49" s="12"/>
      <c r="AG49" s="12"/>
      <c r="AH49" s="12"/>
      <c r="AI49" s="12"/>
      <c r="AK49" s="101"/>
      <c r="AL49" s="12"/>
      <c r="AM49" s="12"/>
      <c r="AN49" s="12"/>
      <c r="AO49" s="12"/>
    </row>
    <row r="50" spans="1:41" customFormat="1" ht="16.5" hidden="1" thickTop="1" thickBot="1" x14ac:dyDescent="0.3">
      <c r="A50" s="121"/>
      <c r="B50" s="41">
        <f>A47</f>
        <v>42736</v>
      </c>
      <c r="C50" s="58">
        <f>L1</f>
        <v>41680</v>
      </c>
      <c r="D50" s="59">
        <f>E50/30.5</f>
        <v>34.622950819672134</v>
      </c>
      <c r="E50" s="60">
        <f>B50-C50</f>
        <v>1056</v>
      </c>
      <c r="F50" s="61"/>
      <c r="G50" s="61">
        <f>E50*1/2</f>
        <v>528</v>
      </c>
      <c r="H50" s="62">
        <f>INT(D50*1/2/12)</f>
        <v>1</v>
      </c>
      <c r="I50" s="63">
        <f>INT(D50*1/2-(H50*12))</f>
        <v>5</v>
      </c>
      <c r="J50" s="64">
        <f>ROUND((D50*1/2-(H50*12)-I50)*30,0)</f>
        <v>9</v>
      </c>
      <c r="K50" s="86">
        <f>B50-G50</f>
        <v>42208</v>
      </c>
      <c r="L50" s="65"/>
      <c r="M50" s="66">
        <f>E50*3/4</f>
        <v>792</v>
      </c>
      <c r="N50" s="62">
        <f>INT(D50*3/4/12)</f>
        <v>2</v>
      </c>
      <c r="O50" s="63">
        <f>INT(D50*3/4-(N50*12))</f>
        <v>1</v>
      </c>
      <c r="P50" s="64">
        <f>ROUND((D50*3/4-(N50*12)-O50)*30,0)</f>
        <v>29</v>
      </c>
      <c r="Q50" s="87">
        <f>B50-M50</f>
        <v>41944</v>
      </c>
      <c r="R50" s="65"/>
      <c r="S50" s="61">
        <f>E50*2/3</f>
        <v>704</v>
      </c>
      <c r="T50" s="62">
        <f>INT(D50*2/3/12)</f>
        <v>1</v>
      </c>
      <c r="U50" s="63">
        <f>INT(D50*2/3-(T50*12))</f>
        <v>11</v>
      </c>
      <c r="V50" s="64">
        <f>ROUND((D50*2/3-(T50*12)-U50)*30,0)</f>
        <v>2</v>
      </c>
      <c r="W50" s="87">
        <f>B50-S50</f>
        <v>42032</v>
      </c>
      <c r="X50" s="67"/>
      <c r="Y50" s="66">
        <f>E50*4/3</f>
        <v>1408</v>
      </c>
      <c r="Z50" s="62">
        <f>INT(D50*4/3/12)</f>
        <v>3</v>
      </c>
      <c r="AA50" s="63">
        <f>INT(D50*4/3-(Z50*12))</f>
        <v>10</v>
      </c>
      <c r="AB50" s="64">
        <f>ROUND((D50*4/3-(Z50*12)-AA50)*30,0)</f>
        <v>5</v>
      </c>
      <c r="AC50" s="87">
        <f>B50-Y50</f>
        <v>41328</v>
      </c>
      <c r="AE50" s="100">
        <f>E50*2</f>
        <v>2112</v>
      </c>
      <c r="AF50" s="62">
        <f>INT(J50*4/3/12)</f>
        <v>1</v>
      </c>
      <c r="AG50" s="63">
        <f>INT(J50*4/3-(AF50*12))</f>
        <v>0</v>
      </c>
      <c r="AH50" s="64">
        <f>ROUND((J50*4/3-(AF50*12)-AG50)*30,0)</f>
        <v>0</v>
      </c>
      <c r="AI50" s="87">
        <f>C50-AE50</f>
        <v>39568</v>
      </c>
      <c r="AK50" s="100">
        <f>E50*3</f>
        <v>3168</v>
      </c>
      <c r="AL50" s="62">
        <f>INT(P50*4/3/12)</f>
        <v>3</v>
      </c>
      <c r="AM50" s="63">
        <f>INT(P50*4/3-(AL50*12))</f>
        <v>2</v>
      </c>
      <c r="AN50" s="64">
        <f>ROUND((P50*4/3-(AL50*12)-AM50)*30,0)</f>
        <v>20</v>
      </c>
      <c r="AO50" s="87">
        <f>C50-AK50</f>
        <v>38512</v>
      </c>
    </row>
    <row r="51" spans="1:41" customFormat="1" hidden="1" x14ac:dyDescent="0.25">
      <c r="B51" s="41"/>
      <c r="C51" s="75"/>
      <c r="D51" s="76"/>
      <c r="E51" s="60"/>
      <c r="F51" s="61"/>
      <c r="G51" s="61"/>
      <c r="H51" s="70"/>
      <c r="I51" s="70"/>
      <c r="J51" s="73"/>
      <c r="K51" s="77"/>
      <c r="L51" s="61"/>
      <c r="M51" s="66"/>
      <c r="N51" s="70"/>
      <c r="O51" s="70"/>
      <c r="P51" s="73"/>
      <c r="Q51" s="67"/>
      <c r="R51" s="61"/>
      <c r="S51" s="61"/>
      <c r="T51" s="70"/>
      <c r="U51" s="70"/>
      <c r="V51" s="73"/>
      <c r="W51" s="67"/>
      <c r="X51" s="67"/>
      <c r="Y51" s="66"/>
      <c r="Z51" s="70"/>
      <c r="AA51" s="70"/>
      <c r="AB51" s="73"/>
      <c r="AC51" s="67"/>
      <c r="AE51" s="101"/>
    </row>
    <row r="52" spans="1:41" customFormat="1" ht="15.75" hidden="1" thickBot="1" x14ac:dyDescent="0.3">
      <c r="F52" s="12"/>
      <c r="AE52" s="101"/>
    </row>
    <row r="53" spans="1:41" customFormat="1" ht="12.75" hidden="1" customHeight="1" x14ac:dyDescent="0.25">
      <c r="F53" s="12"/>
      <c r="H53" s="381" t="s">
        <v>85</v>
      </c>
      <c r="I53" s="382"/>
      <c r="J53" s="382"/>
      <c r="K53" s="383"/>
      <c r="N53" s="384" t="s">
        <v>90</v>
      </c>
      <c r="O53" s="385"/>
      <c r="P53" s="385"/>
      <c r="Q53" s="386"/>
      <c r="T53" s="384" t="s">
        <v>91</v>
      </c>
      <c r="U53" s="385"/>
      <c r="V53" s="385"/>
      <c r="W53" s="386"/>
      <c r="Z53" s="384" t="s">
        <v>132</v>
      </c>
      <c r="AA53" s="385"/>
      <c r="AB53" s="385"/>
      <c r="AC53" s="386"/>
      <c r="AE53" s="101"/>
      <c r="AF53" s="384" t="s">
        <v>141</v>
      </c>
      <c r="AG53" s="385"/>
      <c r="AH53" s="385"/>
      <c r="AI53" s="386"/>
    </row>
    <row r="54" spans="1:41" customFormat="1" ht="23.25" hidden="1" thickBot="1" x14ac:dyDescent="0.3">
      <c r="F54" s="12"/>
      <c r="H54" s="50" t="s">
        <v>81</v>
      </c>
      <c r="I54" s="51" t="s">
        <v>82</v>
      </c>
      <c r="J54" s="51" t="s">
        <v>83</v>
      </c>
      <c r="K54" s="55" t="s">
        <v>84</v>
      </c>
      <c r="N54" s="50" t="s">
        <v>81</v>
      </c>
      <c r="O54" s="51" t="s">
        <v>82</v>
      </c>
      <c r="P54" s="51" t="s">
        <v>83</v>
      </c>
      <c r="Q54" s="55" t="s">
        <v>84</v>
      </c>
      <c r="T54" s="50" t="s">
        <v>81</v>
      </c>
      <c r="U54" s="51" t="s">
        <v>82</v>
      </c>
      <c r="V54" s="51" t="s">
        <v>83</v>
      </c>
      <c r="W54" s="55" t="s">
        <v>84</v>
      </c>
      <c r="Z54" s="50" t="s">
        <v>81</v>
      </c>
      <c r="AA54" s="51" t="s">
        <v>82</v>
      </c>
      <c r="AB54" s="51" t="s">
        <v>83</v>
      </c>
      <c r="AC54" s="55" t="s">
        <v>84</v>
      </c>
      <c r="AE54" s="101"/>
      <c r="AF54" s="50" t="s">
        <v>81</v>
      </c>
      <c r="AG54" s="51" t="s">
        <v>82</v>
      </c>
      <c r="AH54" s="51" t="s">
        <v>83</v>
      </c>
      <c r="AI54" s="55" t="s">
        <v>84</v>
      </c>
    </row>
    <row r="55" spans="1:41" customFormat="1" ht="6" hidden="1" customHeight="1" thickBot="1" x14ac:dyDescent="0.3">
      <c r="F55" s="12"/>
      <c r="AE55" s="101"/>
    </row>
    <row r="56" spans="1:41" customFormat="1" ht="16.5" hidden="1" thickTop="1" thickBot="1" x14ac:dyDescent="0.3">
      <c r="A56" s="121"/>
      <c r="B56" s="41">
        <f>A47</f>
        <v>42736</v>
      </c>
      <c r="C56" s="58">
        <f>L1</f>
        <v>41680</v>
      </c>
      <c r="D56" s="59">
        <f>E56/30.5</f>
        <v>34.622950819672134</v>
      </c>
      <c r="E56" s="60">
        <f>B56-C56</f>
        <v>1056</v>
      </c>
      <c r="F56" s="61"/>
      <c r="G56" s="61">
        <f>E56*3/2</f>
        <v>1584</v>
      </c>
      <c r="H56" s="62">
        <f>INT(D56*3/2/12)</f>
        <v>4</v>
      </c>
      <c r="I56" s="63">
        <f>INT(D56*3/2-(H56*12))</f>
        <v>3</v>
      </c>
      <c r="J56" s="64">
        <f>ROUND((D56*3/2-(H56*12)-I56)*30,0)</f>
        <v>28</v>
      </c>
      <c r="K56" s="86">
        <f>B56-G56</f>
        <v>41152</v>
      </c>
      <c r="L56" s="65"/>
      <c r="M56" s="66">
        <f>E56*5/4</f>
        <v>1320</v>
      </c>
      <c r="N56" s="62">
        <f>INT(D56*5/4/12)</f>
        <v>3</v>
      </c>
      <c r="O56" s="63">
        <f>INT(D56*5/4-(N56*12))</f>
        <v>7</v>
      </c>
      <c r="P56" s="64">
        <f>ROUND((D56*5/4-(N56*12)-O56)*30,0)</f>
        <v>8</v>
      </c>
      <c r="Q56" s="87">
        <f>B56-M56</f>
        <v>41416</v>
      </c>
      <c r="R56" s="65"/>
      <c r="S56" s="61">
        <f>E56*5/6</f>
        <v>880</v>
      </c>
      <c r="T56" s="62">
        <f>INT(D56*5/6/12)</f>
        <v>2</v>
      </c>
      <c r="U56" s="63">
        <f>INT(D56*5/6-(T56*12))</f>
        <v>4</v>
      </c>
      <c r="V56" s="64">
        <f>ROUND((D56*5/6-(T56*12)-U56)*30,0)</f>
        <v>26</v>
      </c>
      <c r="W56" s="87">
        <f>B56-S56</f>
        <v>41856</v>
      </c>
      <c r="X56" s="67"/>
      <c r="Y56" s="66">
        <f>E56*7/6</f>
        <v>1232</v>
      </c>
      <c r="Z56" s="62">
        <f>INT(D56*7/6/12)</f>
        <v>3</v>
      </c>
      <c r="AA56" s="63">
        <f>INT(D56*7/6-(Z56*12))</f>
        <v>4</v>
      </c>
      <c r="AB56" s="64">
        <f>ROUND((D56*7/6-(Z56*12)-AA56)*30,0)</f>
        <v>12</v>
      </c>
      <c r="AC56" s="87">
        <f>B56-Y56</f>
        <v>41504</v>
      </c>
      <c r="AE56" s="100">
        <f>E56*6/7</f>
        <v>905.14285714285711</v>
      </c>
      <c r="AF56" s="62">
        <f>INT(J56*7/6/12)</f>
        <v>2</v>
      </c>
      <c r="AG56" s="63">
        <f>INT(J56*7/6-(AF56*12))</f>
        <v>8</v>
      </c>
      <c r="AH56" s="64">
        <f>ROUND((J56*7/6-(AF56*12)-AG56)*30,0)</f>
        <v>20</v>
      </c>
      <c r="AI56" s="87">
        <f>B56-AE56</f>
        <v>41830.857142857145</v>
      </c>
    </row>
    <row r="57" spans="1:41" customFormat="1" hidden="1" x14ac:dyDescent="0.25">
      <c r="F57" s="12"/>
      <c r="AE57" s="101"/>
    </row>
    <row r="58" spans="1:41" customFormat="1" ht="15.75" hidden="1" thickBot="1" x14ac:dyDescent="0.3">
      <c r="F58" s="12"/>
      <c r="AE58" s="101"/>
    </row>
    <row r="59" spans="1:41" customFormat="1" ht="27.75" hidden="1" customHeight="1" x14ac:dyDescent="0.25">
      <c r="F59" s="12"/>
      <c r="H59" s="384" t="s">
        <v>92</v>
      </c>
      <c r="I59" s="385"/>
      <c r="J59" s="385"/>
      <c r="K59" s="386"/>
      <c r="N59" s="384" t="s">
        <v>93</v>
      </c>
      <c r="O59" s="385"/>
      <c r="P59" s="385"/>
      <c r="Q59" s="386"/>
      <c r="T59" s="384" t="s">
        <v>142</v>
      </c>
      <c r="U59" s="385"/>
      <c r="V59" s="385"/>
      <c r="W59" s="386"/>
      <c r="AE59" s="101"/>
    </row>
    <row r="60" spans="1:41" customFormat="1" ht="23.25" hidden="1" thickBot="1" x14ac:dyDescent="0.3">
      <c r="F60" s="12"/>
      <c r="H60" s="50" t="s">
        <v>81</v>
      </c>
      <c r="I60" s="51" t="s">
        <v>82</v>
      </c>
      <c r="J60" s="51" t="s">
        <v>83</v>
      </c>
      <c r="K60" s="55" t="s">
        <v>84</v>
      </c>
      <c r="N60" s="50" t="s">
        <v>81</v>
      </c>
      <c r="O60" s="51" t="s">
        <v>82</v>
      </c>
      <c r="P60" s="51" t="s">
        <v>83</v>
      </c>
      <c r="Q60" s="55" t="s">
        <v>84</v>
      </c>
      <c r="T60" s="50"/>
      <c r="U60" s="51"/>
      <c r="V60" s="51"/>
      <c r="W60" s="55"/>
      <c r="AE60" s="101"/>
    </row>
    <row r="61" spans="1:41" customFormat="1" ht="6" hidden="1" customHeight="1" thickBot="1" x14ac:dyDescent="0.3">
      <c r="F61" s="12"/>
      <c r="AE61" s="101"/>
    </row>
    <row r="62" spans="1:41" customFormat="1" ht="16.5" hidden="1" thickTop="1" thickBot="1" x14ac:dyDescent="0.3">
      <c r="A62" s="121"/>
      <c r="B62" s="41">
        <f>A47</f>
        <v>42736</v>
      </c>
      <c r="C62" s="58">
        <f>L1+(6*30.5)-1</f>
        <v>41862</v>
      </c>
      <c r="D62" s="59">
        <f>E62/30.5</f>
        <v>28.655737704918032</v>
      </c>
      <c r="E62" s="60">
        <f>B62-C62</f>
        <v>874</v>
      </c>
      <c r="F62" s="61"/>
      <c r="G62" s="61">
        <f>E62*2/3</f>
        <v>582.66666666666663</v>
      </c>
      <c r="H62" s="62">
        <f>INT(D62*2/3/12)</f>
        <v>1</v>
      </c>
      <c r="I62" s="63">
        <f>INT(D62*2/3-(H62*12))</f>
        <v>7</v>
      </c>
      <c r="J62" s="64">
        <f>ROUND((D62*2/3-(H62*12)-I62)*30,0)</f>
        <v>3</v>
      </c>
      <c r="K62" s="86">
        <f>B62-G62</f>
        <v>42153.333333333336</v>
      </c>
      <c r="L62" s="65"/>
      <c r="M62" s="66">
        <f>E62*4/3</f>
        <v>1165.3333333333333</v>
      </c>
      <c r="N62" s="62">
        <f>INT(D62*4/3/12)</f>
        <v>3</v>
      </c>
      <c r="O62" s="63">
        <f>INT(D62*4/3-(N62*12))</f>
        <v>2</v>
      </c>
      <c r="P62" s="64">
        <f>ROUND((D62*4/3-(N62*12)-O62)*30,0)</f>
        <v>6</v>
      </c>
      <c r="Q62" s="87">
        <f>B62-M62</f>
        <v>41570.666666666664</v>
      </c>
      <c r="R62" s="61"/>
      <c r="S62" s="61">
        <f>E50*1/3</f>
        <v>352</v>
      </c>
      <c r="T62" s="62">
        <f>INT(D50*1/3/12)</f>
        <v>0</v>
      </c>
      <c r="U62" s="63">
        <f>INT(D50*1/3-(T62*12))</f>
        <v>11</v>
      </c>
      <c r="V62" s="64">
        <f>ROUND((D50*1/3-(T62*12)-U62)*30,0)</f>
        <v>16</v>
      </c>
      <c r="W62" s="87">
        <f>B50-S62</f>
        <v>42384</v>
      </c>
      <c r="X62" s="67"/>
      <c r="Y62" s="66"/>
      <c r="Z62" s="70"/>
      <c r="AA62" s="70"/>
      <c r="AB62" s="73"/>
      <c r="AC62" s="67"/>
      <c r="AE62" s="101"/>
    </row>
    <row r="63" spans="1:41" customFormat="1" hidden="1" x14ac:dyDescent="0.25">
      <c r="F63" s="12"/>
      <c r="AE63" s="101"/>
    </row>
    <row r="64" spans="1:41" customFormat="1" ht="15.75" hidden="1" thickBot="1" x14ac:dyDescent="0.3">
      <c r="F64" s="12"/>
      <c r="AE64" s="101"/>
    </row>
    <row r="65" spans="1:31" customFormat="1" ht="27.75" hidden="1" customHeight="1" x14ac:dyDescent="0.25">
      <c r="F65" s="12"/>
      <c r="H65" s="384" t="s">
        <v>139</v>
      </c>
      <c r="I65" s="385"/>
      <c r="J65" s="385"/>
      <c r="K65" s="386"/>
      <c r="AE65" s="101"/>
    </row>
    <row r="66" spans="1:31" customFormat="1" ht="23.25" hidden="1" thickBot="1" x14ac:dyDescent="0.3">
      <c r="F66" s="12"/>
      <c r="H66" s="50" t="s">
        <v>81</v>
      </c>
      <c r="I66" s="51" t="s">
        <v>82</v>
      </c>
      <c r="J66" s="51" t="s">
        <v>83</v>
      </c>
      <c r="K66" s="55" t="s">
        <v>84</v>
      </c>
      <c r="AE66" s="101"/>
    </row>
    <row r="67" spans="1:31" customFormat="1" ht="15.75" hidden="1" thickBot="1" x14ac:dyDescent="0.3">
      <c r="F67" s="12"/>
      <c r="AE67" s="101"/>
    </row>
    <row r="68" spans="1:31" customFormat="1" ht="16.5" hidden="1" thickTop="1" thickBot="1" x14ac:dyDescent="0.3">
      <c r="B68" s="41">
        <f>A47</f>
        <v>42736</v>
      </c>
      <c r="C68" s="58">
        <f>L1+(12*30.5)-1</f>
        <v>42045</v>
      </c>
      <c r="D68" s="59">
        <f>E68/30.5</f>
        <v>22.655737704918032</v>
      </c>
      <c r="E68" s="60">
        <f>B68-C68</f>
        <v>691</v>
      </c>
      <c r="F68" s="12"/>
      <c r="G68" s="68">
        <f>E68</f>
        <v>691</v>
      </c>
      <c r="H68" s="62">
        <f>INT(D68*2/3/12)</f>
        <v>1</v>
      </c>
      <c r="I68" s="63">
        <f>INT(D68*2/3-(H68*12))</f>
        <v>3</v>
      </c>
      <c r="J68" s="64">
        <f>ROUND((D68*2/3-(H68*12)-I68)*30,0)</f>
        <v>3</v>
      </c>
      <c r="K68" s="86">
        <f>B68-G68</f>
        <v>42045</v>
      </c>
      <c r="AE68" s="101"/>
    </row>
    <row r="69" spans="1:31" customFormat="1" hidden="1" x14ac:dyDescent="0.25">
      <c r="F69" s="12"/>
      <c r="AE69" s="101"/>
    </row>
    <row r="70" spans="1:31" customFormat="1" ht="15.75" hidden="1" thickBot="1" x14ac:dyDescent="0.3">
      <c r="F70" s="12"/>
      <c r="AE70" s="101"/>
    </row>
    <row r="71" spans="1:31" customFormat="1" ht="27.75" hidden="1" customHeight="1" x14ac:dyDescent="0.25">
      <c r="F71" s="12"/>
      <c r="H71" s="384" t="s">
        <v>94</v>
      </c>
      <c r="I71" s="385"/>
      <c r="J71" s="385"/>
      <c r="K71" s="386"/>
      <c r="N71" s="384" t="s">
        <v>95</v>
      </c>
      <c r="O71" s="385"/>
      <c r="P71" s="385"/>
      <c r="Q71" s="386"/>
      <c r="AE71" s="101"/>
    </row>
    <row r="72" spans="1:31" customFormat="1" ht="23.25" hidden="1" thickBot="1" x14ac:dyDescent="0.3">
      <c r="F72" s="12"/>
      <c r="H72" s="50" t="s">
        <v>81</v>
      </c>
      <c r="I72" s="51" t="s">
        <v>82</v>
      </c>
      <c r="J72" s="51" t="s">
        <v>83</v>
      </c>
      <c r="K72" s="55" t="s">
        <v>84</v>
      </c>
      <c r="N72" s="50" t="s">
        <v>81</v>
      </c>
      <c r="O72" s="51" t="s">
        <v>82</v>
      </c>
      <c r="P72" s="51" t="s">
        <v>83</v>
      </c>
      <c r="Q72" s="55" t="s">
        <v>84</v>
      </c>
      <c r="AE72" s="101"/>
    </row>
    <row r="73" spans="1:31" customFormat="1" ht="6" hidden="1" customHeight="1" thickBot="1" x14ac:dyDescent="0.3">
      <c r="F73" s="12"/>
      <c r="AE73" s="101"/>
    </row>
    <row r="74" spans="1:31" customFormat="1" ht="16.5" hidden="1" thickTop="1" thickBot="1" x14ac:dyDescent="0.3">
      <c r="A74" s="121"/>
      <c r="B74" s="41">
        <f>A47</f>
        <v>42736</v>
      </c>
      <c r="C74" s="58">
        <f>L1+(18*30.5)-1</f>
        <v>42228</v>
      </c>
      <c r="D74" s="59">
        <f>E74/30.5</f>
        <v>16.655737704918032</v>
      </c>
      <c r="E74" s="60">
        <f>B74-C74</f>
        <v>508</v>
      </c>
      <c r="F74" s="61"/>
      <c r="G74" s="61">
        <f>E74*5/3</f>
        <v>846.66666666666663</v>
      </c>
      <c r="H74" s="62">
        <f>INT(D74*5/3/12)</f>
        <v>2</v>
      </c>
      <c r="I74" s="63">
        <f>INT(D74*5/3-(H74*12))</f>
        <v>3</v>
      </c>
      <c r="J74" s="64">
        <f>ROUND((D74*5/3-(H74*12)-I74)*30,0)</f>
        <v>23</v>
      </c>
      <c r="K74" s="86">
        <f>B74-G74</f>
        <v>41889.333333333336</v>
      </c>
      <c r="L74" s="65"/>
      <c r="M74" s="66">
        <f>E74*8/3</f>
        <v>1354.6666666666667</v>
      </c>
      <c r="N74" s="62">
        <f>INT(D74*8/3/12)</f>
        <v>3</v>
      </c>
      <c r="O74" s="63">
        <f>INT(D74*8/3-(N74*12))</f>
        <v>8</v>
      </c>
      <c r="P74" s="64">
        <f>ROUND((D74*8/3-(N74*12)-O74)*30,0)</f>
        <v>12</v>
      </c>
      <c r="Q74" s="87">
        <f>B74-M74</f>
        <v>41381.333333333336</v>
      </c>
      <c r="R74" s="61"/>
      <c r="S74" s="61"/>
      <c r="T74" s="70"/>
      <c r="U74" s="70"/>
      <c r="V74" s="73"/>
      <c r="W74" s="67"/>
      <c r="X74" s="67"/>
      <c r="Y74" s="66"/>
      <c r="Z74" s="70"/>
      <c r="AA74" s="70"/>
      <c r="AB74" s="73"/>
      <c r="AC74" s="67"/>
      <c r="AE74" s="101"/>
    </row>
    <row r="75" spans="1:31" customFormat="1" hidden="1" x14ac:dyDescent="0.25">
      <c r="F75" s="12"/>
      <c r="AE75" s="101"/>
    </row>
    <row r="76" spans="1:31" customFormat="1" ht="15.75" hidden="1" thickBot="1" x14ac:dyDescent="0.3">
      <c r="F76" s="12"/>
      <c r="AE76" s="101"/>
    </row>
    <row r="77" spans="1:31" customFormat="1" ht="27.75" hidden="1" customHeight="1" x14ac:dyDescent="0.25">
      <c r="F77" s="12"/>
      <c r="H77" s="384" t="s">
        <v>96</v>
      </c>
      <c r="I77" s="385"/>
      <c r="J77" s="385"/>
      <c r="K77" s="386"/>
      <c r="N77" s="384" t="s">
        <v>140</v>
      </c>
      <c r="O77" s="385"/>
      <c r="P77" s="385"/>
      <c r="Q77" s="386"/>
      <c r="AE77" s="101"/>
    </row>
    <row r="78" spans="1:31" customFormat="1" ht="23.25" hidden="1" thickBot="1" x14ac:dyDescent="0.3">
      <c r="F78" s="12"/>
      <c r="H78" s="50" t="s">
        <v>81</v>
      </c>
      <c r="I78" s="51" t="s">
        <v>82</v>
      </c>
      <c r="J78" s="51" t="s">
        <v>83</v>
      </c>
      <c r="K78" s="55" t="s">
        <v>84</v>
      </c>
      <c r="N78" s="50" t="s">
        <v>81</v>
      </c>
      <c r="O78" s="51" t="s">
        <v>82</v>
      </c>
      <c r="P78" s="51" t="s">
        <v>83</v>
      </c>
      <c r="Q78" s="55" t="s">
        <v>84</v>
      </c>
      <c r="AE78" s="101"/>
    </row>
    <row r="79" spans="1:31" customFormat="1" ht="6" hidden="1" customHeight="1" thickBot="1" x14ac:dyDescent="0.3">
      <c r="F79" s="12"/>
      <c r="AE79" s="101"/>
    </row>
    <row r="80" spans="1:31" customFormat="1" ht="16.5" hidden="1" thickTop="1" thickBot="1" x14ac:dyDescent="0.3">
      <c r="A80" s="121"/>
      <c r="B80" s="41">
        <f>A47</f>
        <v>42736</v>
      </c>
      <c r="C80" s="58">
        <f>L1+(24*30.5)-1</f>
        <v>42411</v>
      </c>
      <c r="D80" s="59">
        <f>E80/30.5</f>
        <v>10.655737704918034</v>
      </c>
      <c r="E80" s="60">
        <f>B80-C80</f>
        <v>325</v>
      </c>
      <c r="F80" s="61"/>
      <c r="G80" s="61">
        <f>E80*5/4</f>
        <v>406.25</v>
      </c>
      <c r="H80" s="62">
        <f>INT(D80*5/4/12)</f>
        <v>1</v>
      </c>
      <c r="I80" s="63">
        <f>INT(D80*5/4-(H80*12))</f>
        <v>1</v>
      </c>
      <c r="J80" s="64">
        <f>ROUND((D80*5/4-(H80*12)-I80)*30,0)</f>
        <v>10</v>
      </c>
      <c r="K80" s="86">
        <f>B80-G80</f>
        <v>42329.75</v>
      </c>
      <c r="L80" s="61"/>
      <c r="M80" s="68">
        <f>E80</f>
        <v>325</v>
      </c>
      <c r="N80" s="62">
        <f>INT(J80/12)</f>
        <v>0</v>
      </c>
      <c r="O80" s="63">
        <f>INT(J80-(N80*12))</f>
        <v>10</v>
      </c>
      <c r="P80" s="64">
        <f>ROUND((J80-(N80*12)-O80)*30,0)</f>
        <v>0</v>
      </c>
      <c r="Q80" s="86">
        <f>B80-M80</f>
        <v>42411</v>
      </c>
      <c r="R80" s="61"/>
      <c r="S80" s="61"/>
      <c r="T80" s="70"/>
      <c r="U80" s="70"/>
      <c r="V80" s="73"/>
      <c r="W80" s="67"/>
      <c r="X80" s="67"/>
      <c r="Y80" s="66"/>
      <c r="Z80" s="70"/>
      <c r="AA80" s="70"/>
      <c r="AB80" s="73"/>
      <c r="AC80" s="67"/>
      <c r="AE80" s="101"/>
    </row>
    <row r="81" spans="2:31" customFormat="1" hidden="1" x14ac:dyDescent="0.25">
      <c r="F81" s="12"/>
      <c r="AE81" s="101"/>
    </row>
    <row r="82" spans="2:31" customFormat="1" ht="15.75" hidden="1" thickBot="1" x14ac:dyDescent="0.3">
      <c r="AE82" s="101"/>
    </row>
    <row r="83" spans="2:31" customFormat="1" ht="27.75" hidden="1" customHeight="1" x14ac:dyDescent="0.25">
      <c r="F83" s="12"/>
      <c r="H83" s="384" t="s">
        <v>164</v>
      </c>
      <c r="I83" s="385"/>
      <c r="J83" s="385"/>
      <c r="K83" s="386"/>
      <c r="AE83" s="101"/>
    </row>
    <row r="84" spans="2:31" customFormat="1" ht="23.25" hidden="1" thickBot="1" x14ac:dyDescent="0.3">
      <c r="F84" s="12"/>
      <c r="H84" s="50" t="s">
        <v>81</v>
      </c>
      <c r="I84" s="51" t="s">
        <v>82</v>
      </c>
      <c r="J84" s="51" t="s">
        <v>83</v>
      </c>
      <c r="K84" s="55" t="s">
        <v>84</v>
      </c>
      <c r="AE84" s="101"/>
    </row>
    <row r="85" spans="2:31" customFormat="1" ht="15.75" hidden="1" thickBot="1" x14ac:dyDescent="0.3">
      <c r="F85" s="12"/>
      <c r="AE85" s="101"/>
    </row>
    <row r="86" spans="2:31" customFormat="1" ht="16.5" hidden="1" thickTop="1" thickBot="1" x14ac:dyDescent="0.3">
      <c r="B86" s="41">
        <f>A47</f>
        <v>42736</v>
      </c>
      <c r="C86" s="58">
        <f>L1+(36*30.5)-1</f>
        <v>42777</v>
      </c>
      <c r="D86" s="59">
        <f>E86/30.5</f>
        <v>-1.3442622950819672</v>
      </c>
      <c r="E86" s="60">
        <f>B86-C86</f>
        <v>-41</v>
      </c>
      <c r="F86" s="61"/>
      <c r="G86" s="61">
        <f>E86*3</f>
        <v>-123</v>
      </c>
      <c r="H86" s="62">
        <f>INT(D86*5/4/12)</f>
        <v>-1</v>
      </c>
      <c r="I86" s="63">
        <f>INT(D86*5/4-(H86*12))</f>
        <v>10</v>
      </c>
      <c r="J86" s="64">
        <f>ROUND((D86*5/4-(H86*12)-I86)*30,0)</f>
        <v>10</v>
      </c>
      <c r="K86" s="86">
        <f>B86-G86</f>
        <v>42859</v>
      </c>
      <c r="AE86" s="101"/>
    </row>
    <row r="87" spans="2:31" customFormat="1" hidden="1" x14ac:dyDescent="0.25">
      <c r="AE87" s="101"/>
    </row>
    <row r="88" spans="2:31" hidden="1" x14ac:dyDescent="0.25"/>
    <row r="89" spans="2:31" hidden="1" x14ac:dyDescent="0.25"/>
  </sheetData>
  <sheetProtection password="EB30" sheet="1" objects="1" scenarios="1" selectLockedCells="1"/>
  <mergeCells count="32">
    <mergeCell ref="C1:E1"/>
    <mergeCell ref="H1:K1"/>
    <mergeCell ref="L1:P1"/>
    <mergeCell ref="O4:O7"/>
    <mergeCell ref="I31:I32"/>
    <mergeCell ref="I9:I10"/>
    <mergeCell ref="J6:K6"/>
    <mergeCell ref="C6:D6"/>
    <mergeCell ref="G4:L4"/>
    <mergeCell ref="B3:F3"/>
    <mergeCell ref="A47:B47"/>
    <mergeCell ref="C47:D47"/>
    <mergeCell ref="H47:K47"/>
    <mergeCell ref="N47:Q47"/>
    <mergeCell ref="T47:W47"/>
    <mergeCell ref="AF47:AI47"/>
    <mergeCell ref="AL47:AO47"/>
    <mergeCell ref="H53:K53"/>
    <mergeCell ref="N53:Q53"/>
    <mergeCell ref="T53:W53"/>
    <mergeCell ref="Z53:AC53"/>
    <mergeCell ref="AF53:AI53"/>
    <mergeCell ref="T59:W59"/>
    <mergeCell ref="H65:K65"/>
    <mergeCell ref="H71:K71"/>
    <mergeCell ref="N71:Q71"/>
    <mergeCell ref="Z47:AC47"/>
    <mergeCell ref="H77:K77"/>
    <mergeCell ref="N77:Q77"/>
    <mergeCell ref="H83:K83"/>
    <mergeCell ref="H59:K59"/>
    <mergeCell ref="N59:Q5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IB-IM et VP</vt:lpstr>
      <vt:lpstr>MODE D'EMPLOI</vt:lpstr>
      <vt:lpstr>échelle 3 - C1</vt:lpstr>
      <vt:lpstr>échelle 4 - C2</vt:lpstr>
      <vt:lpstr>échelle 5 - C2</vt:lpstr>
      <vt:lpstr>échelle 6 - C3</vt:lpstr>
      <vt:lpstr>Cat B-3 grades et mon educ</vt:lpstr>
      <vt:lpstr>Cat B-2 grades</vt:lpstr>
      <vt:lpstr>Ass Soc Ed</vt:lpstr>
      <vt:lpstr>CESF-EJE-ETS</vt:lpstr>
      <vt:lpstr>ISGS-Ergo</vt:lpstr>
      <vt:lpstr>Cadre Socio-ed</vt:lpstr>
      <vt:lpstr>Attaché adm</vt:lpstr>
      <vt:lpstr>Sage Femme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2017-02-16T15:38:30Z</dcterms:modified>
</cp:coreProperties>
</file>